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2" windowHeight="7800" activeTab="0"/>
  </bookViews>
  <sheets>
    <sheet name="87 Branch" sheetId="1" r:id="rId1"/>
    <sheet name="yearly" sheetId="2" r:id="rId2"/>
    <sheet name="trend" sheetId="3" r:id="rId3"/>
    <sheet name="power vs pump" sheetId="4" r:id="rId4"/>
    <sheet name="pumpage" sheetId="5" r:id="rId5"/>
  </sheets>
  <definedNames>
    <definedName name="_xlnm.Print_Area" localSheetId="0">'87 Branch'!$A$1:$I$18</definedName>
  </definedNames>
  <calcPr fullCalcOnLoad="1"/>
</workbook>
</file>

<file path=xl/sharedStrings.xml><?xml version="1.0" encoding="utf-8"?>
<sst xmlns="http://schemas.openxmlformats.org/spreadsheetml/2006/main" count="739" uniqueCount="207">
  <si>
    <t>Starting Date</t>
  </si>
  <si>
    <t>Ending Date</t>
  </si>
  <si>
    <t>Kilo Watts</t>
  </si>
  <si>
    <t>KW Per Million</t>
  </si>
  <si>
    <t>Average GPD</t>
  </si>
  <si>
    <t>System Pumpage/MG</t>
  </si>
  <si>
    <t>Old</t>
  </si>
  <si>
    <t>New</t>
  </si>
  <si>
    <t>7,809,000 KWh/Yr</t>
  </si>
  <si>
    <t>7,472,863 KWh/Yr</t>
  </si>
  <si>
    <t>118 Mill Street KW Demand</t>
  </si>
  <si>
    <t>87 Branch Street KW Demand</t>
  </si>
  <si>
    <t>Pumpage</t>
  </si>
  <si>
    <t>4/11-5/8</t>
  </si>
  <si>
    <t>Total</t>
  </si>
  <si>
    <t>Avg daily</t>
  </si>
  <si>
    <t>5/9-6/9</t>
  </si>
  <si>
    <t>6/10-7/8</t>
  </si>
  <si>
    <t>7/9-8/7</t>
  </si>
  <si>
    <t>8/8-9/9</t>
  </si>
  <si>
    <t>6/9//2008</t>
  </si>
  <si>
    <t>Percentage +/- KWh/MG</t>
  </si>
  <si>
    <t>12 Month Running Total  KW</t>
  </si>
  <si>
    <t>9/10-10/7</t>
  </si>
  <si>
    <t>10/8-11/6</t>
  </si>
  <si>
    <t>11/7-12/9</t>
  </si>
  <si>
    <t>12/10-1/12</t>
  </si>
  <si>
    <t>1/13-2/9</t>
  </si>
  <si>
    <t>Bill Total</t>
  </si>
  <si>
    <t>kWh</t>
  </si>
  <si>
    <t>cost per kWh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</si>
  <si>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</si>
  <si>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</si>
  <si>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</si>
  <si>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</si>
  <si>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</si>
  <si>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</si>
  <si>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</si>
  <si>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</si>
  <si>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</si>
  <si>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</si>
  <si>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</si>
  <si>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</si>
  <si>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Average cost per kWh</t>
  </si>
  <si>
    <t xml:space="preserve">Excess </t>
  </si>
  <si>
    <t>Power kWh</t>
  </si>
  <si>
    <t>Cost</t>
  </si>
  <si>
    <t>2/10-3/11</t>
  </si>
  <si>
    <t>3/12-4/12</t>
  </si>
  <si>
    <t>5/11/25009</t>
  </si>
  <si>
    <t>4/13-5/11</t>
  </si>
  <si>
    <t>5/12-6/10</t>
  </si>
  <si>
    <t>6/11-7/13</t>
  </si>
  <si>
    <t>7/14-8/11</t>
  </si>
  <si>
    <t>Period</t>
  </si>
  <si>
    <t>Kilo Watts   2008</t>
  </si>
  <si>
    <t>Kilo Watts   2009</t>
  </si>
  <si>
    <t>8/12-9/9</t>
  </si>
  <si>
    <t>9/10-10/11</t>
  </si>
  <si>
    <t>10/12-11/8</t>
  </si>
  <si>
    <t>YTD</t>
  </si>
  <si>
    <t>11/9-12/9</t>
  </si>
  <si>
    <t>12/10-1/11</t>
  </si>
  <si>
    <t>1/12-2/9</t>
  </si>
  <si>
    <t>Kilo Watts   2010</t>
  </si>
  <si>
    <t>5/12-6/9</t>
  </si>
  <si>
    <t>6/10-7/13</t>
  </si>
  <si>
    <t>KWh/MG</t>
  </si>
  <si>
    <t>Billing Period</t>
  </si>
  <si>
    <t>Million Gallons Billing Period</t>
  </si>
  <si>
    <t>Kilowatts Billing Period</t>
  </si>
  <si>
    <t>8/12-9/12</t>
  </si>
  <si>
    <t>9/13-10/11</t>
  </si>
  <si>
    <t>12/10-1/10</t>
  </si>
  <si>
    <t>1/11-2/8</t>
  </si>
  <si>
    <t>2008-2009</t>
  </si>
  <si>
    <t>2009-2010</t>
  </si>
  <si>
    <t>2010-2011</t>
  </si>
  <si>
    <t>2/9-3/9</t>
  </si>
  <si>
    <t>3/10-4/10</t>
  </si>
  <si>
    <t>Kilo Watts   2011</t>
  </si>
  <si>
    <t>4/11-5/10</t>
  </si>
  <si>
    <t>5/11-6/9</t>
  </si>
  <si>
    <t>6/10-7/11</t>
  </si>
  <si>
    <t>7/12-8/10</t>
  </si>
  <si>
    <t>8/11-9/11</t>
  </si>
  <si>
    <t>9/12-10/10</t>
  </si>
  <si>
    <t>10/11-11/8</t>
  </si>
  <si>
    <t>11/9-12/11</t>
  </si>
  <si>
    <t>12/12-1/10</t>
  </si>
  <si>
    <t>2/9-3/11</t>
  </si>
  <si>
    <t>3/12-4/10</t>
  </si>
  <si>
    <t>4/11-5/9</t>
  </si>
  <si>
    <t>Kilo Watts   2012</t>
  </si>
  <si>
    <t>5/10-6/11</t>
  </si>
  <si>
    <t>6/12-7/11</t>
  </si>
  <si>
    <t>7/12-8/9</t>
  </si>
  <si>
    <t>8/10-9/11</t>
  </si>
  <si>
    <t>10/11-11/6</t>
  </si>
  <si>
    <t>11/7-12/10</t>
  </si>
  <si>
    <t>12/11-1/10</t>
  </si>
  <si>
    <t>2011-2012</t>
  </si>
  <si>
    <t>2012-2013</t>
  </si>
  <si>
    <t>1/11-2/12</t>
  </si>
  <si>
    <t>2/13-3/11</t>
  </si>
  <si>
    <t>2013-2014</t>
  </si>
  <si>
    <t>3/12-4/9</t>
  </si>
  <si>
    <t>Kilo Watts   2013</t>
  </si>
  <si>
    <t>4/10-5/12</t>
  </si>
  <si>
    <t>5/13-6/11</t>
  </si>
  <si>
    <t>7/12-8/13</t>
  </si>
  <si>
    <t>8/14-9/11</t>
  </si>
  <si>
    <t>9/12-10/9</t>
  </si>
  <si>
    <t>10/10-11/6</t>
  </si>
  <si>
    <t>2014-2015</t>
  </si>
  <si>
    <t>12/11-1/12</t>
  </si>
  <si>
    <t>1/13-2/10</t>
  </si>
  <si>
    <t>2/11-3/11</t>
  </si>
  <si>
    <t>Kilo Watts   2014</t>
  </si>
  <si>
    <t>6/12-7/13</t>
  </si>
  <si>
    <t>7/14-8/12</t>
  </si>
  <si>
    <t>8/13-9/10</t>
  </si>
  <si>
    <t>9/11-10/8</t>
  </si>
  <si>
    <t xml:space="preserve">HSP VFD's operational June 5, 2010 </t>
  </si>
  <si>
    <t>RWPS VFD's operational December 3, 2014</t>
  </si>
  <si>
    <t>10/9-11/9</t>
  </si>
  <si>
    <t>11/10-12/10</t>
  </si>
  <si>
    <t>E (RWPS)</t>
  </si>
  <si>
    <t>E (WTP)</t>
  </si>
  <si>
    <t>1/13-2/11</t>
  </si>
  <si>
    <t>2/12-3/12</t>
  </si>
  <si>
    <t>2015-2016</t>
  </si>
  <si>
    <t>3/13-4/13</t>
  </si>
  <si>
    <t>4/14-5/11</t>
  </si>
  <si>
    <t>6/11-7/12</t>
  </si>
  <si>
    <t>7/13-8/11</t>
  </si>
  <si>
    <t>8/12-9/10</t>
  </si>
  <si>
    <t>10/9-11/8</t>
  </si>
  <si>
    <t>Kilo Watts   2015</t>
  </si>
  <si>
    <t>1/12-2/8</t>
  </si>
  <si>
    <t>2016-2017</t>
  </si>
  <si>
    <t>3/10-4/12</t>
  </si>
  <si>
    <t>5/12-6/12</t>
  </si>
  <si>
    <t>6/13-7/12</t>
  </si>
  <si>
    <t>7/13-8/10</t>
  </si>
  <si>
    <t>8/11-9/12</t>
  </si>
  <si>
    <t>Kilo Watts   2016</t>
  </si>
  <si>
    <t>6 year average</t>
  </si>
  <si>
    <t>10/12-11/7</t>
  </si>
  <si>
    <t>11/8-12/11</t>
  </si>
  <si>
    <t>E (RWPS &amp; WTP)</t>
  </si>
  <si>
    <t>3/10-4/9</t>
  </si>
  <si>
    <t>4/10-5/9</t>
  </si>
  <si>
    <t>11/9-12/10</t>
  </si>
  <si>
    <t>1/11-2/7</t>
  </si>
  <si>
    <t>2/8-3/11</t>
  </si>
  <si>
    <t>2017-2018</t>
  </si>
  <si>
    <t>2018-2019</t>
  </si>
  <si>
    <t>4/10-5/8</t>
  </si>
  <si>
    <t>6/12-7/10</t>
  </si>
  <si>
    <t>7/11-8/8</t>
  </si>
  <si>
    <t>8/9-9/9</t>
  </si>
  <si>
    <t>9/10-10/10</t>
  </si>
  <si>
    <t>12/10-1/9</t>
  </si>
  <si>
    <t>1/10-2/7</t>
  </si>
  <si>
    <t>5/9-6/11</t>
  </si>
  <si>
    <t>year</t>
  </si>
  <si>
    <t xml:space="preserve">Kilo Watts  </t>
  </si>
  <si>
    <t>2019-2020</t>
  </si>
  <si>
    <t>2020-2021</t>
  </si>
  <si>
    <t>2/8-3/10</t>
  </si>
  <si>
    <t>3/11-4/8</t>
  </si>
  <si>
    <t>4/9-5/9</t>
  </si>
  <si>
    <t>5/10-6/10</t>
  </si>
  <si>
    <t>6/11-7/10</t>
  </si>
  <si>
    <t>7/11-8/12</t>
  </si>
  <si>
    <t>8/13-9/11</t>
  </si>
  <si>
    <t>9/12-10/8</t>
  </si>
  <si>
    <t>10/9-11/6</t>
  </si>
  <si>
    <t>2/10-3/9</t>
  </si>
  <si>
    <t>4/10-5/10</t>
  </si>
  <si>
    <t>5/11-6/8</t>
  </si>
  <si>
    <t>6/9-7/12</t>
  </si>
  <si>
    <t>8/11-9/8</t>
  </si>
  <si>
    <t>9/9-10/6</t>
  </si>
  <si>
    <t>10/7-11/5</t>
  </si>
  <si>
    <t>11/6-12/9</t>
  </si>
  <si>
    <t>2/10-3/10</t>
  </si>
  <si>
    <t>3/11-4/12</t>
  </si>
  <si>
    <t>4/13-5/10</t>
  </si>
  <si>
    <t>8/11-9/9</t>
  </si>
  <si>
    <t>2021-2022</t>
  </si>
  <si>
    <t>2022-2023</t>
  </si>
  <si>
    <t>2023-2024</t>
  </si>
  <si>
    <t>11/8-12/8</t>
  </si>
  <si>
    <t>12/9-1/9</t>
  </si>
  <si>
    <t>2/8-3/9</t>
  </si>
  <si>
    <t>5/10-6/8</t>
  </si>
  <si>
    <t>6/9-7/10</t>
  </si>
  <si>
    <t>7/11-8/9</t>
  </si>
  <si>
    <t>8/10-9/8</t>
  </si>
  <si>
    <t>9/9-10/11</t>
  </si>
  <si>
    <t>7/11-8/15</t>
  </si>
  <si>
    <t>8/16-9/10</t>
  </si>
  <si>
    <t>9/11-10/9</t>
  </si>
  <si>
    <t>10/10-11/7</t>
  </si>
  <si>
    <t>11/8-12/10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</si>
</sst>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0"/>
    <numFmt numFmtId="167" formatCode="#,##0.000"/>
    <numFmt numFmtId="168" formatCode="[$-409]h:mm:ss\ AM/PM"/>
    <numFmt numFmtId="169" formatCode="&quot;$&quot;#,##0.00"/>
    <numFmt numFmtId="170" formatCode="#,##0.0000"/>
    <numFmt numFmtId="171" formatCode="&quot;$&quot;#,##0.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4"/>
      <color indexed="63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67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0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169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169" fontId="4" fillId="33" borderId="11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2" xfId="0" applyFont="1" applyFill="1" applyBorder="1" applyAlignment="1">
      <alignment/>
    </xf>
    <xf numFmtId="169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71" fontId="0" fillId="33" borderId="16" xfId="0" applyNumberFormat="1" applyFill="1" applyBorder="1" applyAlignment="1">
      <alignment/>
    </xf>
    <xf numFmtId="169" fontId="4" fillId="33" borderId="17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16" borderId="12" xfId="0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4" xfId="0" applyFont="1" applyFill="1" applyBorder="1" applyAlignment="1">
      <alignment/>
    </xf>
    <xf numFmtId="169" fontId="0" fillId="16" borderId="0" xfId="0" applyNumberFormat="1" applyFill="1" applyBorder="1" applyAlignment="1">
      <alignment/>
    </xf>
    <xf numFmtId="3" fontId="0" fillId="16" borderId="0" xfId="0" applyNumberFormat="1" applyFill="1" applyBorder="1" applyAlignment="1">
      <alignment horizontal="right"/>
    </xf>
    <xf numFmtId="171" fontId="0" fillId="16" borderId="16" xfId="0" applyNumberFormat="1" applyFill="1" applyBorder="1" applyAlignment="1">
      <alignment/>
    </xf>
    <xf numFmtId="3" fontId="0" fillId="16" borderId="0" xfId="0" applyNumberFormat="1" applyFont="1" applyFill="1" applyBorder="1" applyAlignment="1">
      <alignment/>
    </xf>
    <xf numFmtId="3" fontId="0" fillId="16" borderId="0" xfId="0" applyNumberFormat="1" applyFill="1" applyBorder="1" applyAlignment="1">
      <alignment/>
    </xf>
    <xf numFmtId="169" fontId="4" fillId="16" borderId="17" xfId="0" applyNumberFormat="1" applyFont="1" applyFill="1" applyBorder="1" applyAlignment="1">
      <alignment/>
    </xf>
    <xf numFmtId="0" fontId="0" fillId="16" borderId="13" xfId="0" applyFill="1" applyBorder="1" applyAlignment="1">
      <alignment/>
    </xf>
    <xf numFmtId="3" fontId="4" fillId="16" borderId="13" xfId="0" applyNumberFormat="1" applyFont="1" applyFill="1" applyBorder="1" applyAlignment="1">
      <alignment/>
    </xf>
    <xf numFmtId="171" fontId="4" fillId="16" borderId="18" xfId="0" applyNumberFormat="1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4" fillId="16" borderId="12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169" fontId="4" fillId="16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16" borderId="10" xfId="0" applyNumberFormat="1" applyFont="1" applyFill="1" applyBorder="1" applyAlignment="1">
      <alignment horizontal="center"/>
    </xf>
    <xf numFmtId="169" fontId="4" fillId="33" borderId="19" xfId="0" applyNumberFormat="1" applyFont="1" applyFill="1" applyBorder="1" applyAlignment="1">
      <alignment horizontal="right"/>
    </xf>
    <xf numFmtId="169" fontId="4" fillId="16" borderId="19" xfId="0" applyNumberFormat="1" applyFont="1" applyFill="1" applyBorder="1" applyAlignment="1">
      <alignment horizontal="right"/>
    </xf>
    <xf numFmtId="169" fontId="4" fillId="16" borderId="11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ont="1" applyFill="1" applyBorder="1" applyAlignment="1">
      <alignment/>
    </xf>
    <xf numFmtId="169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 horizontal="right"/>
    </xf>
    <xf numFmtId="171" fontId="0" fillId="34" borderId="16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9" fontId="4" fillId="34" borderId="17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171" fontId="4" fillId="34" borderId="18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169" fontId="4" fillId="34" borderId="19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169" fontId="4" fillId="34" borderId="11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169" fontId="4" fillId="34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167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34" borderId="0" xfId="0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4" xfId="0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171" fontId="0" fillId="2" borderId="16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169" fontId="4" fillId="2" borderId="17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171" fontId="4" fillId="2" borderId="18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169" fontId="4" fillId="2" borderId="19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169" fontId="4" fillId="2" borderId="11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169" fontId="4" fillId="2" borderId="10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47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9" borderId="12" xfId="0" applyFill="1" applyBorder="1" applyAlignment="1">
      <alignment/>
    </xf>
    <xf numFmtId="0" fontId="0" fillId="9" borderId="20" xfId="0" applyFont="1" applyFill="1" applyBorder="1" applyAlignment="1">
      <alignment horizontal="center"/>
    </xf>
    <xf numFmtId="0" fontId="0" fillId="9" borderId="15" xfId="0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4" xfId="0" applyFont="1" applyFill="1" applyBorder="1" applyAlignment="1">
      <alignment/>
    </xf>
    <xf numFmtId="169" fontId="0" fillId="9" borderId="0" xfId="0" applyNumberFormat="1" applyFill="1" applyBorder="1" applyAlignment="1">
      <alignment/>
    </xf>
    <xf numFmtId="3" fontId="0" fillId="9" borderId="0" xfId="0" applyNumberFormat="1" applyFill="1" applyBorder="1" applyAlignment="1">
      <alignment horizontal="right"/>
    </xf>
    <xf numFmtId="171" fontId="0" fillId="9" borderId="16" xfId="0" applyNumberForma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3" fontId="0" fillId="9" borderId="0" xfId="0" applyNumberFormat="1" applyFill="1" applyBorder="1" applyAlignment="1">
      <alignment/>
    </xf>
    <xf numFmtId="169" fontId="4" fillId="9" borderId="17" xfId="0" applyNumberFormat="1" applyFont="1" applyFill="1" applyBorder="1" applyAlignment="1">
      <alignment/>
    </xf>
    <xf numFmtId="0" fontId="0" fillId="9" borderId="13" xfId="0" applyFill="1" applyBorder="1" applyAlignment="1">
      <alignment/>
    </xf>
    <xf numFmtId="3" fontId="4" fillId="9" borderId="13" xfId="0" applyNumberFormat="1" applyFont="1" applyFill="1" applyBorder="1" applyAlignment="1">
      <alignment/>
    </xf>
    <xf numFmtId="171" fontId="4" fillId="9" borderId="18" xfId="0" applyNumberFormat="1" applyFont="1" applyFill="1" applyBorder="1" applyAlignment="1">
      <alignment/>
    </xf>
    <xf numFmtId="0" fontId="4" fillId="9" borderId="12" xfId="0" applyFont="1" applyFill="1" applyBorder="1" applyAlignment="1">
      <alignment/>
    </xf>
    <xf numFmtId="169" fontId="4" fillId="9" borderId="19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/>
    </xf>
    <xf numFmtId="169" fontId="4" fillId="9" borderId="11" xfId="0" applyNumberFormat="1" applyFont="1" applyFill="1" applyBorder="1" applyAlignment="1">
      <alignment/>
    </xf>
    <xf numFmtId="3" fontId="4" fillId="9" borderId="10" xfId="0" applyNumberFormat="1" applyFont="1" applyFill="1" applyBorder="1" applyAlignment="1">
      <alignment horizontal="center"/>
    </xf>
    <xf numFmtId="169" fontId="4" fillId="9" borderId="10" xfId="0" applyNumberFormat="1" applyFont="1" applyFill="1" applyBorder="1" applyAlignment="1">
      <alignment/>
    </xf>
    <xf numFmtId="3" fontId="0" fillId="9" borderId="1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169" fontId="0" fillId="35" borderId="0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0" xfId="0" applyNumberFormat="1" applyFill="1" applyBorder="1" applyAlignment="1">
      <alignment horizontal="right"/>
    </xf>
    <xf numFmtId="171" fontId="0" fillId="35" borderId="16" xfId="0" applyNumberForma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169" fontId="4" fillId="35" borderId="17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171" fontId="4" fillId="35" borderId="18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169" fontId="4" fillId="35" borderId="19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169" fontId="4" fillId="35" borderId="11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/>
    </xf>
    <xf numFmtId="169" fontId="4" fillId="35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26" fillId="0" borderId="0" xfId="0" applyNumberFormat="1" applyFont="1" applyAlignment="1">
      <alignment/>
    </xf>
    <xf numFmtId="0" fontId="0" fillId="36" borderId="12" xfId="0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4" xfId="0" applyFont="1" applyFill="1" applyBorder="1" applyAlignment="1">
      <alignment/>
    </xf>
    <xf numFmtId="169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>
      <alignment horizontal="right"/>
    </xf>
    <xf numFmtId="171" fontId="0" fillId="36" borderId="16" xfId="0" applyNumberForma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169" fontId="4" fillId="36" borderId="17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171" fontId="4" fillId="36" borderId="18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169" fontId="4" fillId="36" borderId="19" xfId="0" applyNumberFormat="1" applyFont="1" applyFill="1" applyBorder="1" applyAlignment="1">
      <alignment horizontal="right"/>
    </xf>
    <xf numFmtId="0" fontId="4" fillId="36" borderId="11" xfId="0" applyFont="1" applyFill="1" applyBorder="1" applyAlignment="1">
      <alignment/>
    </xf>
    <xf numFmtId="169" fontId="4" fillId="36" borderId="11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 horizontal="center"/>
    </xf>
    <xf numFmtId="169" fontId="4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ont="1" applyFill="1" applyBorder="1" applyAlignment="1">
      <alignment/>
    </xf>
    <xf numFmtId="169" fontId="0" fillId="37" borderId="0" xfId="0" applyNumberFormat="1" applyFill="1" applyBorder="1" applyAlignment="1">
      <alignment/>
    </xf>
    <xf numFmtId="3" fontId="0" fillId="37" borderId="0" xfId="0" applyNumberFormat="1" applyFill="1" applyBorder="1" applyAlignment="1">
      <alignment horizontal="right"/>
    </xf>
    <xf numFmtId="171" fontId="0" fillId="37" borderId="16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169" fontId="0" fillId="37" borderId="0" xfId="0" applyNumberFormat="1" applyFont="1" applyFill="1" applyBorder="1" applyAlignment="1">
      <alignment/>
    </xf>
    <xf numFmtId="169" fontId="4" fillId="37" borderId="17" xfId="0" applyNumberFormat="1" applyFont="1" applyFill="1" applyBorder="1" applyAlignment="1">
      <alignment/>
    </xf>
    <xf numFmtId="0" fontId="0" fillId="37" borderId="13" xfId="0" applyFill="1" applyBorder="1" applyAlignment="1">
      <alignment/>
    </xf>
    <xf numFmtId="3" fontId="4" fillId="37" borderId="13" xfId="0" applyNumberFormat="1" applyFont="1" applyFill="1" applyBorder="1" applyAlignment="1">
      <alignment/>
    </xf>
    <xf numFmtId="171" fontId="4" fillId="37" borderId="18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169" fontId="4" fillId="37" borderId="19" xfId="0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/>
    </xf>
    <xf numFmtId="169" fontId="4" fillId="37" borderId="11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horizontal="center"/>
    </xf>
    <xf numFmtId="169" fontId="4" fillId="37" borderId="10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20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/>
    </xf>
    <xf numFmtId="169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>
      <alignment horizontal="right"/>
    </xf>
    <xf numFmtId="171" fontId="0" fillId="38" borderId="16" xfId="0" applyNumberForma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169" fontId="0" fillId="38" borderId="0" xfId="0" applyNumberFormat="1" applyFont="1" applyFill="1" applyBorder="1" applyAlignment="1">
      <alignment/>
    </xf>
    <xf numFmtId="169" fontId="4" fillId="38" borderId="17" xfId="0" applyNumberFormat="1" applyFont="1" applyFill="1" applyBorder="1" applyAlignment="1">
      <alignment/>
    </xf>
    <xf numFmtId="0" fontId="0" fillId="38" borderId="13" xfId="0" applyFill="1" applyBorder="1" applyAlignment="1">
      <alignment/>
    </xf>
    <xf numFmtId="3" fontId="4" fillId="38" borderId="13" xfId="0" applyNumberFormat="1" applyFont="1" applyFill="1" applyBorder="1" applyAlignment="1">
      <alignment/>
    </xf>
    <xf numFmtId="171" fontId="4" fillId="38" borderId="18" xfId="0" applyNumberFormat="1" applyFont="1" applyFill="1" applyBorder="1" applyAlignment="1">
      <alignment/>
    </xf>
    <xf numFmtId="0" fontId="4" fillId="38" borderId="12" xfId="0" applyFont="1" applyFill="1" applyBorder="1" applyAlignment="1">
      <alignment/>
    </xf>
    <xf numFmtId="169" fontId="4" fillId="38" borderId="19" xfId="0" applyNumberFormat="1" applyFont="1" applyFill="1" applyBorder="1" applyAlignment="1">
      <alignment horizontal="right"/>
    </xf>
    <xf numFmtId="0" fontId="4" fillId="38" borderId="17" xfId="0" applyFont="1" applyFill="1" applyBorder="1" applyAlignment="1">
      <alignment/>
    </xf>
    <xf numFmtId="169" fontId="4" fillId="38" borderId="11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 horizontal="center"/>
    </xf>
    <xf numFmtId="169" fontId="4" fillId="38" borderId="10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169" fontId="0" fillId="16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0" fillId="39" borderId="15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4" xfId="0" applyFont="1" applyFill="1" applyBorder="1" applyAlignment="1">
      <alignment/>
    </xf>
    <xf numFmtId="169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>
      <alignment horizontal="right"/>
    </xf>
    <xf numFmtId="171" fontId="0" fillId="39" borderId="16" xfId="0" applyNumberForma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169" fontId="0" fillId="39" borderId="0" xfId="0" applyNumberFormat="1" applyFont="1" applyFill="1" applyBorder="1" applyAlignment="1">
      <alignment/>
    </xf>
    <xf numFmtId="169" fontId="4" fillId="39" borderId="17" xfId="0" applyNumberFormat="1" applyFont="1" applyFill="1" applyBorder="1" applyAlignment="1">
      <alignment/>
    </xf>
    <xf numFmtId="0" fontId="0" fillId="39" borderId="13" xfId="0" applyFill="1" applyBorder="1" applyAlignment="1">
      <alignment/>
    </xf>
    <xf numFmtId="3" fontId="4" fillId="39" borderId="13" xfId="0" applyNumberFormat="1" applyFont="1" applyFill="1" applyBorder="1" applyAlignment="1">
      <alignment/>
    </xf>
    <xf numFmtId="171" fontId="4" fillId="39" borderId="18" xfId="0" applyNumberFormat="1" applyFont="1" applyFill="1" applyBorder="1" applyAlignment="1">
      <alignment/>
    </xf>
    <xf numFmtId="0" fontId="4" fillId="39" borderId="12" xfId="0" applyFont="1" applyFill="1" applyBorder="1" applyAlignment="1">
      <alignment/>
    </xf>
    <xf numFmtId="169" fontId="4" fillId="39" borderId="19" xfId="0" applyNumberFormat="1" applyFont="1" applyFill="1" applyBorder="1" applyAlignment="1">
      <alignment horizontal="right"/>
    </xf>
    <xf numFmtId="0" fontId="4" fillId="39" borderId="17" xfId="0" applyFont="1" applyFill="1" applyBorder="1" applyAlignment="1">
      <alignment/>
    </xf>
    <xf numFmtId="169" fontId="4" fillId="39" borderId="11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 horizontal="center"/>
    </xf>
    <xf numFmtId="169" fontId="4" fillId="39" borderId="1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right"/>
    </xf>
    <xf numFmtId="0" fontId="0" fillId="18" borderId="12" xfId="0" applyFont="1" applyFill="1" applyBorder="1" applyAlignment="1">
      <alignment/>
    </xf>
    <xf numFmtId="0" fontId="0" fillId="18" borderId="20" xfId="0" applyFont="1" applyFill="1" applyBorder="1" applyAlignment="1">
      <alignment horizontal="center"/>
    </xf>
    <xf numFmtId="0" fontId="0" fillId="18" borderId="15" xfId="0" applyFont="1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4" xfId="0" applyFont="1" applyFill="1" applyBorder="1" applyAlignment="1">
      <alignment/>
    </xf>
    <xf numFmtId="169" fontId="0" fillId="18" borderId="0" xfId="0" applyNumberFormat="1" applyFill="1" applyBorder="1" applyAlignment="1">
      <alignment/>
    </xf>
    <xf numFmtId="3" fontId="0" fillId="18" borderId="0" xfId="0" applyNumberFormat="1" applyFill="1" applyBorder="1" applyAlignment="1">
      <alignment horizontal="right"/>
    </xf>
    <xf numFmtId="171" fontId="0" fillId="18" borderId="16" xfId="0" applyNumberForma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3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169" fontId="4" fillId="18" borderId="17" xfId="0" applyNumberFormat="1" applyFont="1" applyFill="1" applyBorder="1" applyAlignment="1">
      <alignment/>
    </xf>
    <xf numFmtId="0" fontId="0" fillId="18" borderId="13" xfId="0" applyFill="1" applyBorder="1" applyAlignment="1">
      <alignment/>
    </xf>
    <xf numFmtId="3" fontId="4" fillId="18" borderId="13" xfId="0" applyNumberFormat="1" applyFont="1" applyFill="1" applyBorder="1" applyAlignment="1">
      <alignment/>
    </xf>
    <xf numFmtId="171" fontId="4" fillId="18" borderId="18" xfId="0" applyNumberFormat="1" applyFont="1" applyFill="1" applyBorder="1" applyAlignment="1">
      <alignment/>
    </xf>
    <xf numFmtId="0" fontId="4" fillId="18" borderId="12" xfId="0" applyFont="1" applyFill="1" applyBorder="1" applyAlignment="1">
      <alignment/>
    </xf>
    <xf numFmtId="169" fontId="4" fillId="18" borderId="19" xfId="0" applyNumberFormat="1" applyFont="1" applyFill="1" applyBorder="1" applyAlignment="1">
      <alignment horizontal="right"/>
    </xf>
    <xf numFmtId="0" fontId="4" fillId="18" borderId="17" xfId="0" applyFont="1" applyFill="1" applyBorder="1" applyAlignment="1">
      <alignment/>
    </xf>
    <xf numFmtId="169" fontId="4" fillId="18" borderId="11" xfId="0" applyNumberFormat="1" applyFont="1" applyFill="1" applyBorder="1" applyAlignment="1">
      <alignment/>
    </xf>
    <xf numFmtId="3" fontId="4" fillId="18" borderId="10" xfId="0" applyNumberFormat="1" applyFont="1" applyFill="1" applyBorder="1" applyAlignment="1">
      <alignment horizontal="center"/>
    </xf>
    <xf numFmtId="169" fontId="4" fillId="18" borderId="10" xfId="0" applyNumberFormat="1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20" xfId="0" applyFont="1" applyFill="1" applyBorder="1" applyAlignment="1">
      <alignment horizontal="center"/>
    </xf>
    <xf numFmtId="0" fontId="0" fillId="17" borderId="15" xfId="0" applyFont="1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4" xfId="0" applyFont="1" applyFill="1" applyBorder="1" applyAlignment="1">
      <alignment/>
    </xf>
    <xf numFmtId="169" fontId="0" fillId="17" borderId="0" xfId="0" applyNumberFormat="1" applyFill="1" applyBorder="1" applyAlignment="1">
      <alignment/>
    </xf>
    <xf numFmtId="3" fontId="0" fillId="17" borderId="0" xfId="0" applyNumberFormat="1" applyFill="1" applyBorder="1" applyAlignment="1">
      <alignment horizontal="right"/>
    </xf>
    <xf numFmtId="171" fontId="0" fillId="17" borderId="16" xfId="0" applyNumberFormat="1" applyFill="1" applyBorder="1" applyAlignment="1">
      <alignment/>
    </xf>
    <xf numFmtId="3" fontId="0" fillId="17" borderId="0" xfId="0" applyNumberFormat="1" applyFont="1" applyFill="1" applyBorder="1" applyAlignment="1">
      <alignment/>
    </xf>
    <xf numFmtId="3" fontId="0" fillId="17" borderId="0" xfId="0" applyNumberFormat="1" applyFill="1" applyBorder="1" applyAlignment="1">
      <alignment/>
    </xf>
    <xf numFmtId="169" fontId="0" fillId="17" borderId="0" xfId="0" applyNumberFormat="1" applyFont="1" applyFill="1" applyBorder="1" applyAlignment="1">
      <alignment/>
    </xf>
    <xf numFmtId="169" fontId="4" fillId="17" borderId="17" xfId="0" applyNumberFormat="1" applyFont="1" applyFill="1" applyBorder="1" applyAlignment="1">
      <alignment/>
    </xf>
    <xf numFmtId="0" fontId="0" fillId="17" borderId="13" xfId="0" applyFill="1" applyBorder="1" applyAlignment="1">
      <alignment/>
    </xf>
    <xf numFmtId="3" fontId="4" fillId="17" borderId="13" xfId="0" applyNumberFormat="1" applyFont="1" applyFill="1" applyBorder="1" applyAlignment="1">
      <alignment/>
    </xf>
    <xf numFmtId="171" fontId="4" fillId="17" borderId="18" xfId="0" applyNumberFormat="1" applyFont="1" applyFill="1" applyBorder="1" applyAlignment="1">
      <alignment/>
    </xf>
    <xf numFmtId="0" fontId="4" fillId="17" borderId="12" xfId="0" applyFont="1" applyFill="1" applyBorder="1" applyAlignment="1">
      <alignment/>
    </xf>
    <xf numFmtId="169" fontId="4" fillId="17" borderId="19" xfId="0" applyNumberFormat="1" applyFont="1" applyFill="1" applyBorder="1" applyAlignment="1">
      <alignment horizontal="right"/>
    </xf>
    <xf numFmtId="0" fontId="4" fillId="17" borderId="17" xfId="0" applyFont="1" applyFill="1" applyBorder="1" applyAlignment="1">
      <alignment/>
    </xf>
    <xf numFmtId="169" fontId="4" fillId="17" borderId="11" xfId="0" applyNumberFormat="1" applyFont="1" applyFill="1" applyBorder="1" applyAlignment="1">
      <alignment/>
    </xf>
    <xf numFmtId="3" fontId="4" fillId="17" borderId="10" xfId="0" applyNumberFormat="1" applyFont="1" applyFill="1" applyBorder="1" applyAlignment="1">
      <alignment horizontal="center"/>
    </xf>
    <xf numFmtId="169" fontId="4" fillId="17" borderId="10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 horizontal="right"/>
    </xf>
    <xf numFmtId="3" fontId="48" fillId="0" borderId="0" xfId="0" applyNumberFormat="1" applyFont="1" applyAlignment="1">
      <alignment/>
    </xf>
    <xf numFmtId="3" fontId="0" fillId="40" borderId="10" xfId="0" applyNumberFormat="1" applyFill="1" applyBorder="1" applyAlignment="1">
      <alignment/>
    </xf>
    <xf numFmtId="3" fontId="0" fillId="17" borderId="10" xfId="0" applyNumberFormat="1" applyFill="1" applyBorder="1" applyAlignment="1">
      <alignment/>
    </xf>
    <xf numFmtId="14" fontId="0" fillId="40" borderId="10" xfId="0" applyNumberFormat="1" applyFill="1" applyBorder="1" applyAlignment="1">
      <alignment/>
    </xf>
    <xf numFmtId="166" fontId="0" fillId="40" borderId="10" xfId="0" applyNumberFormat="1" applyFill="1" applyBorder="1" applyAlignment="1">
      <alignment/>
    </xf>
    <xf numFmtId="10" fontId="0" fillId="40" borderId="10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19" borderId="12" xfId="0" applyFont="1" applyFill="1" applyBorder="1" applyAlignment="1">
      <alignment/>
    </xf>
    <xf numFmtId="0" fontId="0" fillId="19" borderId="20" xfId="0" applyFont="1" applyFill="1" applyBorder="1" applyAlignment="1">
      <alignment horizontal="center"/>
    </xf>
    <xf numFmtId="0" fontId="0" fillId="19" borderId="15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4" xfId="0" applyFont="1" applyFill="1" applyBorder="1" applyAlignment="1">
      <alignment/>
    </xf>
    <xf numFmtId="169" fontId="0" fillId="19" borderId="0" xfId="0" applyNumberFormat="1" applyFill="1" applyBorder="1" applyAlignment="1">
      <alignment/>
    </xf>
    <xf numFmtId="3" fontId="0" fillId="19" borderId="0" xfId="0" applyNumberFormat="1" applyFill="1" applyBorder="1" applyAlignment="1">
      <alignment horizontal="right"/>
    </xf>
    <xf numFmtId="171" fontId="0" fillId="19" borderId="16" xfId="0" applyNumberFormat="1" applyFill="1" applyBorder="1" applyAlignment="1">
      <alignment/>
    </xf>
    <xf numFmtId="3" fontId="0" fillId="19" borderId="0" xfId="0" applyNumberFormat="1" applyFont="1" applyFill="1" applyBorder="1" applyAlignment="1">
      <alignment/>
    </xf>
    <xf numFmtId="3" fontId="0" fillId="19" borderId="0" xfId="0" applyNumberFormat="1" applyFill="1" applyBorder="1" applyAlignment="1">
      <alignment/>
    </xf>
    <xf numFmtId="169" fontId="0" fillId="19" borderId="0" xfId="0" applyNumberFormat="1" applyFont="1" applyFill="1" applyBorder="1" applyAlignment="1">
      <alignment/>
    </xf>
    <xf numFmtId="169" fontId="4" fillId="19" borderId="17" xfId="0" applyNumberFormat="1" applyFont="1" applyFill="1" applyBorder="1" applyAlignment="1">
      <alignment/>
    </xf>
    <xf numFmtId="0" fontId="0" fillId="19" borderId="13" xfId="0" applyFill="1" applyBorder="1" applyAlignment="1">
      <alignment/>
    </xf>
    <xf numFmtId="3" fontId="4" fillId="19" borderId="13" xfId="0" applyNumberFormat="1" applyFont="1" applyFill="1" applyBorder="1" applyAlignment="1">
      <alignment/>
    </xf>
    <xf numFmtId="171" fontId="4" fillId="19" borderId="18" xfId="0" applyNumberFormat="1" applyFont="1" applyFill="1" applyBorder="1" applyAlignment="1">
      <alignment/>
    </xf>
    <xf numFmtId="0" fontId="4" fillId="19" borderId="12" xfId="0" applyFont="1" applyFill="1" applyBorder="1" applyAlignment="1">
      <alignment/>
    </xf>
    <xf numFmtId="169" fontId="4" fillId="19" borderId="19" xfId="0" applyNumberFormat="1" applyFont="1" applyFill="1" applyBorder="1" applyAlignment="1">
      <alignment horizontal="right"/>
    </xf>
    <xf numFmtId="0" fontId="4" fillId="19" borderId="17" xfId="0" applyFont="1" applyFill="1" applyBorder="1" applyAlignment="1">
      <alignment/>
    </xf>
    <xf numFmtId="169" fontId="4" fillId="19" borderId="11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 horizontal="center"/>
    </xf>
    <xf numFmtId="169" fontId="4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20" xfId="0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4" xfId="0" applyFont="1" applyFill="1" applyBorder="1" applyAlignment="1">
      <alignment/>
    </xf>
    <xf numFmtId="169" fontId="0" fillId="41" borderId="0" xfId="0" applyNumberFormat="1" applyFill="1" applyBorder="1" applyAlignment="1">
      <alignment/>
    </xf>
    <xf numFmtId="3" fontId="0" fillId="41" borderId="0" xfId="0" applyNumberFormat="1" applyFill="1" applyBorder="1" applyAlignment="1">
      <alignment horizontal="right"/>
    </xf>
    <xf numFmtId="171" fontId="0" fillId="41" borderId="16" xfId="0" applyNumberFormat="1" applyFill="1" applyBorder="1" applyAlignment="1">
      <alignment/>
    </xf>
    <xf numFmtId="3" fontId="0" fillId="41" borderId="0" xfId="0" applyNumberFormat="1" applyFont="1" applyFill="1" applyBorder="1" applyAlignment="1">
      <alignment/>
    </xf>
    <xf numFmtId="3" fontId="0" fillId="41" borderId="0" xfId="0" applyNumberFormat="1" applyFill="1" applyBorder="1" applyAlignment="1">
      <alignment/>
    </xf>
    <xf numFmtId="169" fontId="0" fillId="41" borderId="0" xfId="0" applyNumberFormat="1" applyFont="1" applyFill="1" applyBorder="1" applyAlignment="1">
      <alignment/>
    </xf>
    <xf numFmtId="169" fontId="4" fillId="41" borderId="17" xfId="0" applyNumberFormat="1" applyFont="1" applyFill="1" applyBorder="1" applyAlignment="1">
      <alignment/>
    </xf>
    <xf numFmtId="0" fontId="0" fillId="41" borderId="13" xfId="0" applyFill="1" applyBorder="1" applyAlignment="1">
      <alignment/>
    </xf>
    <xf numFmtId="3" fontId="4" fillId="41" borderId="13" xfId="0" applyNumberFormat="1" applyFont="1" applyFill="1" applyBorder="1" applyAlignment="1">
      <alignment/>
    </xf>
    <xf numFmtId="171" fontId="4" fillId="41" borderId="18" xfId="0" applyNumberFormat="1" applyFont="1" applyFill="1" applyBorder="1" applyAlignment="1">
      <alignment/>
    </xf>
    <xf numFmtId="0" fontId="4" fillId="41" borderId="12" xfId="0" applyFont="1" applyFill="1" applyBorder="1" applyAlignment="1">
      <alignment/>
    </xf>
    <xf numFmtId="169" fontId="4" fillId="41" borderId="19" xfId="0" applyNumberFormat="1" applyFont="1" applyFill="1" applyBorder="1" applyAlignment="1">
      <alignment horizontal="right"/>
    </xf>
    <xf numFmtId="0" fontId="4" fillId="41" borderId="17" xfId="0" applyFont="1" applyFill="1" applyBorder="1" applyAlignment="1">
      <alignment/>
    </xf>
    <xf numFmtId="169" fontId="4" fillId="41" borderId="11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 horizontal="center"/>
    </xf>
    <xf numFmtId="169" fontId="4" fillId="41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14" fontId="0" fillId="0" borderId="0" xfId="0" applyNumberForma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Killowatt Usage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-0.00775"/>
          <c:w val="0.858"/>
          <c:h val="0.98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yearly!$B$5:$B$16</c:f>
              <c:numCache/>
            </c:numRef>
          </c:val>
          <c:smooth val="0"/>
        </c:ser>
        <c:ser>
          <c:idx val="1"/>
          <c:order val="1"/>
          <c:tx>
            <c:v>2009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yearly!$C$5:$C$16</c:f>
              <c:numCache/>
            </c:numRef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yearly!$D$5:$D$16</c:f>
              <c:numCache/>
            </c:numRef>
          </c:val>
          <c:smooth val="0"/>
        </c:ser>
        <c:ser>
          <c:idx val="3"/>
          <c:order val="3"/>
          <c:tx>
            <c:v>2011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yearly!$E$5:$E$16</c:f>
              <c:numCache/>
            </c:numRef>
          </c:val>
          <c:smooth val="0"/>
        </c:ser>
        <c:ser>
          <c:idx val="4"/>
          <c:order val="4"/>
          <c:tx>
            <c:v>2012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yearly!$F$5:$F$16</c:f>
              <c:numCache/>
            </c:numRef>
          </c:val>
          <c:smooth val="0"/>
        </c:ser>
        <c:ser>
          <c:idx val="5"/>
          <c:order val="5"/>
          <c:tx>
            <c:v>2013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yearly!$G$5:$G$16</c:f>
              <c:numCache/>
            </c:numRef>
          </c:val>
          <c:smooth val="0"/>
        </c:ser>
        <c:ser>
          <c:idx val="6"/>
          <c:order val="6"/>
          <c:tx>
            <c:v>2014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yearly!$H$5:$H$16</c:f>
              <c:numCache/>
            </c:numRef>
          </c:val>
          <c:smooth val="0"/>
        </c:ser>
        <c:ser>
          <c:idx val="7"/>
          <c:order val="7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yearly!$I$5:$I$16</c:f>
              <c:numCache/>
            </c:numRef>
          </c:val>
          <c:smooth val="0"/>
        </c:ser>
        <c:marker val="1"/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0"/>
        <c:crosses val="autoZero"/>
        <c:auto val="1"/>
        <c:lblOffset val="100"/>
        <c:tickLblSkip val="1"/>
        <c:noMultiLvlLbl val="0"/>
      </c:catAx>
      <c:valAx>
        <c:axId val="563870"/>
        <c:scaling>
          <c:orientation val="minMax"/>
          <c:min val="4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33775"/>
          <c:w val="0.08"/>
          <c:h val="0.4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2016 kilowatts vs 6 year average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775"/>
          <c:w val="0.881"/>
          <c:h val="0.93825"/>
        </c:manualLayout>
      </c:layout>
      <c:lineChart>
        <c:grouping val="standard"/>
        <c:varyColors val="0"/>
        <c:ser>
          <c:idx val="0"/>
          <c:order val="0"/>
          <c:tx>
            <c:v>6 year average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yearly!$K$5:$K$16</c:f>
              <c:numCache/>
            </c:numRef>
          </c:val>
          <c:smooth val="0"/>
        </c:ser>
        <c:ser>
          <c:idx val="1"/>
          <c:order val="1"/>
          <c:tx>
            <c:v>2016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yearly!$A$5:$A$16</c:f>
              <c:strCache/>
            </c:strRef>
          </c:cat>
          <c:val>
            <c:numRef>
              <c:f>yearly!$J$5:$J$16</c:f>
              <c:numCache/>
            </c:numRef>
          </c:val>
          <c:smooth val="0"/>
        </c:ser>
        <c:marker val="1"/>
        <c:axId val="5074831"/>
        <c:axId val="45673480"/>
      </c:lineChart>
      <c:catAx>
        <c:axId val="507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  <c:max val="700000"/>
          <c:min val="4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48725"/>
          <c:w val="0.097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Killowatt Usage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-0.00175"/>
          <c:w val="0.91075"/>
          <c:h val="0.981"/>
        </c:manualLayout>
      </c:layout>
      <c:lineChart>
        <c:grouping val="standard"/>
        <c:varyColors val="0"/>
        <c:ser>
          <c:idx val="0"/>
          <c:order val="0"/>
          <c:tx>
            <c:v>kWh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trend!$A$5:$A$86</c:f>
              <c:strCache/>
            </c:strRef>
          </c:cat>
          <c:val>
            <c:numRef>
              <c:f>trend!$B$5:$B$86</c:f>
              <c:numCache/>
            </c:numRef>
          </c:val>
          <c:smooth val="0"/>
        </c:ser>
        <c:marker val="1"/>
        <c:axId val="8408137"/>
        <c:axId val="8564370"/>
      </c:line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4370"/>
        <c:crosses val="autoZero"/>
        <c:auto val="1"/>
        <c:lblOffset val="100"/>
        <c:tickLblSkip val="2"/>
        <c:noMultiLvlLbl val="0"/>
      </c:catAx>
      <c:valAx>
        <c:axId val="8564370"/>
        <c:scaling>
          <c:orientation val="minMax"/>
          <c:min val="4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"/>
          <c:y val="0.4665"/>
          <c:w val="0.048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Kilowatts vs pumpage</a:t>
            </a:r>
          </a:p>
        </c:rich>
      </c:tx>
      <c:layout>
        <c:manualLayout>
          <c:xMode val="factor"/>
          <c:yMode val="factor"/>
          <c:x val="-0.0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485"/>
          <c:w val="0.849"/>
          <c:h val="0.88125"/>
        </c:manualLayout>
      </c:layout>
      <c:lineChart>
        <c:grouping val="standard"/>
        <c:varyColors val="0"/>
        <c:ser>
          <c:idx val="0"/>
          <c:order val="0"/>
          <c:tx>
            <c:v>Kilowatts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'power vs pump'!$D$3:$D$83</c:f>
              <c:strCache/>
            </c:strRef>
          </c:cat>
          <c:val>
            <c:numRef>
              <c:f>'power vs pump'!$B$3:$B$83</c:f>
              <c:numCache/>
            </c:numRef>
          </c:val>
          <c:smooth val="0"/>
        </c:ser>
        <c:marker val="1"/>
        <c:axId val="9970467"/>
        <c:axId val="22625340"/>
      </c:lineChart>
      <c:lineChart>
        <c:grouping val="standard"/>
        <c:varyColors val="0"/>
        <c:ser>
          <c:idx val="1"/>
          <c:order val="1"/>
          <c:tx>
            <c:v>Million gallons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'power vs pump'!$D$3:$D$83</c:f>
              <c:strCache/>
            </c:strRef>
          </c:cat>
          <c:val>
            <c:numRef>
              <c:f>'power vs pump'!$C$3:$C$83</c:f>
              <c:numCache/>
            </c:numRef>
          </c:val>
          <c:smooth val="0"/>
        </c:ser>
        <c:marker val="1"/>
        <c:axId val="2301469"/>
        <c:axId val="20713222"/>
      </c:lineChart>
      <c:cat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25340"/>
        <c:crosses val="autoZero"/>
        <c:auto val="1"/>
        <c:lblOffset val="100"/>
        <c:tickLblSkip val="2"/>
        <c:noMultiLvlLbl val="0"/>
      </c:catAx>
      <c:valAx>
        <c:axId val="22625340"/>
        <c:scaling>
          <c:orientation val="minMax"/>
          <c:min val="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Kilowatts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0467"/>
        <c:crossesAt val="1"/>
        <c:crossBetween val="between"/>
        <c:dispUnits/>
      </c:valAx>
      <c:catAx>
        <c:axId val="2301469"/>
        <c:scaling>
          <c:orientation val="minMax"/>
        </c:scaling>
        <c:axPos val="b"/>
        <c:delete val="1"/>
        <c:majorTickMark val="out"/>
        <c:minorTickMark val="none"/>
        <c:tickLblPos val="nextTo"/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gallons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75"/>
          <c:y val="0.499"/>
          <c:w val="0.053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590550</xdr:colOff>
      <xdr:row>3</xdr:row>
      <xdr:rowOff>0</xdr:rowOff>
    </xdr:from>
    <xdr:to>
      <xdr:col>47</xdr:col>
      <xdr:colOff>590550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1850350" y="485775"/>
        <a:ext cx="79248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</xdr:row>
      <xdr:rowOff>0</xdr:rowOff>
    </xdr:from>
    <xdr:to>
      <xdr:col>29</xdr:col>
      <xdr:colOff>590550</xdr:colOff>
      <xdr:row>29</xdr:row>
      <xdr:rowOff>28575</xdr:rowOff>
    </xdr:to>
    <xdr:graphicFrame>
      <xdr:nvGraphicFramePr>
        <xdr:cNvPr id="2" name="Chart 1"/>
        <xdr:cNvGraphicFramePr/>
      </xdr:nvGraphicFramePr>
      <xdr:xfrm>
        <a:off x="7858125" y="485775"/>
        <a:ext cx="109442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26</xdr:col>
      <xdr:colOff>9525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181225" y="485775"/>
        <a:ext cx="140303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142875</xdr:rowOff>
    </xdr:from>
    <xdr:to>
      <xdr:col>40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590925" y="762000"/>
        <a:ext cx="21897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6"/>
  <sheetViews>
    <sheetView tabSelected="1" zoomScalePageLayoutView="0" workbookViewId="0" topLeftCell="A1">
      <pane ySplit="4" topLeftCell="A74" activePane="bottomLeft" state="frozen"/>
      <selection pane="topLeft" activeCell="A1" sqref="A1"/>
      <selection pane="bottomLeft" activeCell="D191" sqref="D191"/>
    </sheetView>
  </sheetViews>
  <sheetFormatPr defaultColWidth="9.140625" defaultRowHeight="12.75"/>
  <cols>
    <col min="1" max="1" width="13.28125" style="0" customWidth="1"/>
    <col min="2" max="2" width="12.421875" style="0" customWidth="1"/>
    <col min="3" max="3" width="12.00390625" style="0" customWidth="1"/>
    <col min="4" max="4" width="17.28125" style="0" customWidth="1"/>
    <col min="5" max="5" width="14.140625" style="0" customWidth="1"/>
    <col min="6" max="6" width="20.00390625" style="0" customWidth="1"/>
    <col min="7" max="7" width="17.8515625" style="0" customWidth="1"/>
    <col min="8" max="8" width="15.00390625" style="0" customWidth="1"/>
    <col min="9" max="9" width="15.7109375" style="0" customWidth="1"/>
    <col min="10" max="10" width="11.28125" style="0" customWidth="1"/>
    <col min="11" max="11" width="12.421875" style="0" customWidth="1"/>
    <col min="13" max="13" width="12.140625" style="0" bestFit="1" customWidth="1"/>
    <col min="14" max="14" width="11.8515625" style="0" bestFit="1" customWidth="1"/>
    <col min="15" max="15" width="11.8515625" style="0" customWidth="1"/>
    <col min="16" max="16" width="11.7109375" style="0" bestFit="1" customWidth="1"/>
    <col min="17" max="17" width="11.57421875" style="0" customWidth="1"/>
    <col min="18" max="18" width="12.140625" style="0" bestFit="1" customWidth="1"/>
    <col min="20" max="20" width="12.140625" style="0" customWidth="1"/>
    <col min="21" max="21" width="13.7109375" style="0" bestFit="1" customWidth="1"/>
    <col min="22" max="22" width="11.140625" style="0" customWidth="1"/>
    <col min="23" max="23" width="12.140625" style="0" bestFit="1" customWidth="1"/>
    <col min="25" max="25" width="13.7109375" style="0" customWidth="1"/>
    <col min="26" max="26" width="13.421875" style="0" bestFit="1" customWidth="1"/>
    <col min="27" max="27" width="10.7109375" style="0" customWidth="1"/>
    <col min="28" max="28" width="12.28125" style="0" customWidth="1"/>
  </cols>
  <sheetData>
    <row r="1" spans="4:11" ht="12.75">
      <c r="D1" s="15" t="s">
        <v>11</v>
      </c>
      <c r="F1" s="10" t="s">
        <v>6</v>
      </c>
      <c r="G1" s="1" t="s">
        <v>8</v>
      </c>
      <c r="H1" s="13">
        <v>1657</v>
      </c>
      <c r="I1" t="s">
        <v>67</v>
      </c>
      <c r="K1" s="101" t="s">
        <v>123</v>
      </c>
    </row>
    <row r="2" spans="4:11" ht="12.75">
      <c r="D2" s="15" t="s">
        <v>10</v>
      </c>
      <c r="F2" s="10" t="s">
        <v>7</v>
      </c>
      <c r="G2" s="1" t="s">
        <v>9</v>
      </c>
      <c r="H2" s="13">
        <v>1586</v>
      </c>
      <c r="I2" t="s">
        <v>67</v>
      </c>
      <c r="K2" s="101" t="s">
        <v>124</v>
      </c>
    </row>
    <row r="4" spans="1:8" ht="27.75" customHeight="1">
      <c r="A4" s="1" t="s">
        <v>0</v>
      </c>
      <c r="B4" s="1" t="s">
        <v>1</v>
      </c>
      <c r="C4" s="1" t="s">
        <v>2</v>
      </c>
      <c r="D4" s="20" t="s">
        <v>22</v>
      </c>
      <c r="E4" s="1" t="s">
        <v>4</v>
      </c>
      <c r="F4" s="1" t="s">
        <v>5</v>
      </c>
      <c r="G4" s="1" t="s">
        <v>3</v>
      </c>
      <c r="H4" s="19" t="s">
        <v>21</v>
      </c>
    </row>
    <row r="5" spans="1:28" ht="12.75" customHeight="1">
      <c r="A5" s="8">
        <v>39519</v>
      </c>
      <c r="B5" s="8">
        <v>39548</v>
      </c>
      <c r="C5" s="107">
        <v>637200</v>
      </c>
      <c r="D5" s="24"/>
      <c r="E5" s="23"/>
      <c r="F5" s="23"/>
      <c r="G5" s="23"/>
      <c r="H5" s="25"/>
      <c r="J5" s="40" t="s">
        <v>75</v>
      </c>
      <c r="K5" s="122" t="s">
        <v>28</v>
      </c>
      <c r="L5" s="122" t="s">
        <v>29</v>
      </c>
      <c r="M5" s="41" t="s">
        <v>30</v>
      </c>
      <c r="O5" s="54" t="s">
        <v>76</v>
      </c>
      <c r="P5" s="121" t="s">
        <v>28</v>
      </c>
      <c r="Q5" s="121" t="s">
        <v>29</v>
      </c>
      <c r="R5" s="55" t="s">
        <v>30</v>
      </c>
      <c r="T5" s="80" t="s">
        <v>77</v>
      </c>
      <c r="U5" s="120" t="s">
        <v>28</v>
      </c>
      <c r="V5" s="120" t="s">
        <v>29</v>
      </c>
      <c r="W5" s="81" t="s">
        <v>30</v>
      </c>
      <c r="Y5" s="124" t="s">
        <v>101</v>
      </c>
      <c r="Z5" s="125" t="s">
        <v>28</v>
      </c>
      <c r="AA5" s="125" t="s">
        <v>29</v>
      </c>
      <c r="AB5" s="126" t="s">
        <v>30</v>
      </c>
    </row>
    <row r="6" spans="1:28" ht="12.75">
      <c r="A6" s="2">
        <v>39549</v>
      </c>
      <c r="B6" s="2">
        <v>39576</v>
      </c>
      <c r="C6" s="108">
        <f>622300+99800</f>
        <v>722100</v>
      </c>
      <c r="D6" s="4"/>
      <c r="E6" s="3">
        <f>pumpage!B43</f>
        <v>8843107.142857144</v>
      </c>
      <c r="F6" s="11">
        <f>pumpage!B42*10^-6</f>
        <v>247.607</v>
      </c>
      <c r="G6" s="3">
        <f aca="true" t="shared" si="0" ref="G6:G14">C6/F6</f>
        <v>2916.3149668628107</v>
      </c>
      <c r="H6" s="14">
        <f>(G6-H2)/H2</f>
        <v>0.8387862338353157</v>
      </c>
      <c r="J6" s="42"/>
      <c r="K6" s="43"/>
      <c r="L6" s="43"/>
      <c r="M6" s="44"/>
      <c r="O6" s="56"/>
      <c r="P6" s="57"/>
      <c r="Q6" s="57"/>
      <c r="R6" s="58"/>
      <c r="T6" s="82"/>
      <c r="U6" s="83"/>
      <c r="V6" s="83"/>
      <c r="W6" s="84"/>
      <c r="Y6" s="127"/>
      <c r="Z6" s="128"/>
      <c r="AA6" s="128"/>
      <c r="AB6" s="129"/>
    </row>
    <row r="7" spans="1:28" ht="12.75">
      <c r="A7" s="2">
        <v>39577</v>
      </c>
      <c r="B7" s="18" t="s">
        <v>20</v>
      </c>
      <c r="C7" s="108">
        <f>715400+109200</f>
        <v>824600</v>
      </c>
      <c r="D7" s="4"/>
      <c r="E7" s="3">
        <f>pumpage!C43</f>
        <v>10047781.25</v>
      </c>
      <c r="F7" s="11">
        <f>pumpage!C42*10^-6</f>
        <v>321.529</v>
      </c>
      <c r="G7" s="3">
        <f t="shared" si="0"/>
        <v>2564.620920663455</v>
      </c>
      <c r="H7" s="14">
        <f>(G7-H2)/H2</f>
        <v>0.6170371504813713</v>
      </c>
      <c r="J7" s="45" t="s">
        <v>31</v>
      </c>
      <c r="K7" s="46">
        <f>11976.6+74771.56</f>
        <v>86748.16</v>
      </c>
      <c r="L7" s="34">
        <v>637200</v>
      </c>
      <c r="M7" s="47">
        <f>K7/L7</f>
        <v>0.1361396107972379</v>
      </c>
      <c r="O7" s="59" t="s">
        <v>31</v>
      </c>
      <c r="P7" s="60">
        <f>97946.73+15048.74</f>
        <v>112995.47</v>
      </c>
      <c r="Q7" s="61">
        <f>697900+103200</f>
        <v>801100</v>
      </c>
      <c r="R7" s="62">
        <f>P7/Q7</f>
        <v>0.14105039320933715</v>
      </c>
      <c r="T7" s="85" t="s">
        <v>31</v>
      </c>
      <c r="U7" s="86">
        <f>98273.59+16612.01-50.4-277.09</f>
        <v>114558.11</v>
      </c>
      <c r="V7" s="87">
        <f>718200+115400</f>
        <v>833600</v>
      </c>
      <c r="W7" s="88">
        <f>U7/V7</f>
        <v>0.13742575575815738</v>
      </c>
      <c r="Y7" s="130" t="s">
        <v>31</v>
      </c>
      <c r="Z7" s="123">
        <f>59579.21+15657.97-149.59</f>
        <v>75087.59</v>
      </c>
      <c r="AA7" s="131">
        <f>420700+103200</f>
        <v>523900</v>
      </c>
      <c r="AB7" s="132">
        <f>Z7/AA7</f>
        <v>0.14332427944264173</v>
      </c>
    </row>
    <row r="8" spans="1:28" ht="12.75">
      <c r="A8" s="2">
        <v>39609</v>
      </c>
      <c r="B8" s="6">
        <v>39637</v>
      </c>
      <c r="C8" s="108">
        <v>848600</v>
      </c>
      <c r="D8" s="4"/>
      <c r="E8" s="3">
        <f>pumpage!D43</f>
        <v>11445586.206896551</v>
      </c>
      <c r="F8" s="11">
        <f>pumpage!D42*10^-6</f>
        <v>331.92199999999997</v>
      </c>
      <c r="G8" s="3">
        <f t="shared" si="0"/>
        <v>2556.6247491880627</v>
      </c>
      <c r="H8" s="14">
        <f>(G8-H2)/H2</f>
        <v>0.6119954282396359</v>
      </c>
      <c r="J8" s="45" t="s">
        <v>32</v>
      </c>
      <c r="K8" s="46">
        <f>13838.4+83560.5</f>
        <v>97398.9</v>
      </c>
      <c r="L8" s="35">
        <f>622300+99800</f>
        <v>722100</v>
      </c>
      <c r="M8" s="47">
        <f aca="true" t="shared" si="1" ref="M8:M18">K8/L8</f>
        <v>0.13488284171167428</v>
      </c>
      <c r="O8" s="59" t="s">
        <v>32</v>
      </c>
      <c r="P8" s="60">
        <f>89734.15+17143.41</f>
        <v>106877.56</v>
      </c>
      <c r="Q8" s="63">
        <f>627200+115400</f>
        <v>742600</v>
      </c>
      <c r="R8" s="62">
        <f aca="true" t="shared" si="2" ref="R8:R18">P8/Q8</f>
        <v>0.1439234581201185</v>
      </c>
      <c r="T8" s="85" t="s">
        <v>32</v>
      </c>
      <c r="U8" s="86">
        <f>88966.41+16859.24-53.69-270.39</f>
        <v>105501.57</v>
      </c>
      <c r="V8" s="89">
        <f>644000+117600</f>
        <v>761600</v>
      </c>
      <c r="W8" s="88">
        <f aca="true" t="shared" si="3" ref="W8:W18">U8/V8</f>
        <v>0.1385262211134454</v>
      </c>
      <c r="Y8" s="130" t="s">
        <v>32</v>
      </c>
      <c r="Z8" s="123">
        <f>63321.32+17970.51</f>
        <v>81291.83</v>
      </c>
      <c r="AA8" s="133">
        <f>445900+124200</f>
        <v>570100</v>
      </c>
      <c r="AB8" s="132">
        <f aca="true" t="shared" si="4" ref="AB8:AB18">Z8/AA8</f>
        <v>0.14259222943343272</v>
      </c>
    </row>
    <row r="9" spans="1:28" ht="12.75">
      <c r="A9" s="2">
        <v>39638</v>
      </c>
      <c r="B9" s="7">
        <v>39667</v>
      </c>
      <c r="C9" s="108">
        <v>883200</v>
      </c>
      <c r="D9" s="5"/>
      <c r="E9" s="3">
        <f>pumpage!E43</f>
        <v>12065633.333333334</v>
      </c>
      <c r="F9" s="102">
        <f>pumpage!E42*10^-6</f>
        <v>361.969</v>
      </c>
      <c r="G9" s="195">
        <f t="shared" si="0"/>
        <v>2439.9879547696073</v>
      </c>
      <c r="H9" s="103">
        <f>(G9-H2)/H2</f>
        <v>0.5384539437387184</v>
      </c>
      <c r="J9" s="45" t="s">
        <v>33</v>
      </c>
      <c r="K9" s="46">
        <f>15084.36+95134.08</f>
        <v>110218.44</v>
      </c>
      <c r="L9" s="36">
        <f>715400+109200</f>
        <v>824600</v>
      </c>
      <c r="M9" s="47">
        <f t="shared" si="1"/>
        <v>0.13366291535289837</v>
      </c>
      <c r="O9" s="59" t="s">
        <v>33</v>
      </c>
      <c r="P9" s="60">
        <f>91381.74+19388</f>
        <v>110769.74</v>
      </c>
      <c r="Q9" s="64">
        <f>649600+133800</f>
        <v>783400</v>
      </c>
      <c r="R9" s="62">
        <f t="shared" si="2"/>
        <v>0.1413961450089354</v>
      </c>
      <c r="T9" s="85" t="s">
        <v>33</v>
      </c>
      <c r="U9" s="86">
        <f>85276.2+19435.58-53.77-251.05</f>
        <v>104406.95999999999</v>
      </c>
      <c r="V9" s="90">
        <v>749600</v>
      </c>
      <c r="W9" s="88">
        <f t="shared" si="3"/>
        <v>0.13928356456776947</v>
      </c>
      <c r="Y9" s="130" t="s">
        <v>33</v>
      </c>
      <c r="Z9" s="123">
        <f>69132.73+18556.97</f>
        <v>87689.7</v>
      </c>
      <c r="AA9" s="134">
        <f>487900+128000</f>
        <v>615900</v>
      </c>
      <c r="AB9" s="132">
        <f t="shared" si="4"/>
        <v>0.14237652216268876</v>
      </c>
    </row>
    <row r="10" spans="1:28" ht="12.75">
      <c r="A10" s="7">
        <v>39668</v>
      </c>
      <c r="B10" s="7">
        <v>39700</v>
      </c>
      <c r="C10" s="108">
        <v>850500</v>
      </c>
      <c r="D10" s="5"/>
      <c r="E10" s="3">
        <f>pumpage!F43</f>
        <v>10032181.818181818</v>
      </c>
      <c r="F10" s="11">
        <f>pumpage!F42*10^-6</f>
        <v>331.062</v>
      </c>
      <c r="G10" s="3">
        <f t="shared" si="0"/>
        <v>2569.00520144263</v>
      </c>
      <c r="H10" s="14">
        <f>(G10-H2)/H2</f>
        <v>0.6198015141504604</v>
      </c>
      <c r="I10" s="21"/>
      <c r="J10" s="45" t="s">
        <v>34</v>
      </c>
      <c r="K10" s="46">
        <f>20982.93+92349.46</f>
        <v>113332.39000000001</v>
      </c>
      <c r="L10" s="36">
        <v>848600</v>
      </c>
      <c r="M10" s="47">
        <f t="shared" si="1"/>
        <v>0.13355219184539244</v>
      </c>
      <c r="O10" s="59" t="s">
        <v>34</v>
      </c>
      <c r="P10" s="60">
        <f>99067.93+16847.45</f>
        <v>115915.37999999999</v>
      </c>
      <c r="Q10" s="64">
        <f>706300+113400</f>
        <v>819700</v>
      </c>
      <c r="R10" s="62">
        <f t="shared" si="2"/>
        <v>0.1414119555935098</v>
      </c>
      <c r="T10" s="85" t="s">
        <v>34</v>
      </c>
      <c r="U10" s="86">
        <f>90366.74+25479.72-59.3-248.59</f>
        <v>115538.57</v>
      </c>
      <c r="V10" s="90">
        <v>841900</v>
      </c>
      <c r="W10" s="88">
        <f t="shared" si="3"/>
        <v>0.13723550302886328</v>
      </c>
      <c r="Y10" s="130" t="s">
        <v>34</v>
      </c>
      <c r="Z10" s="123">
        <f>68814.9+18640.62-60.88</f>
        <v>87394.63999999998</v>
      </c>
      <c r="AA10" s="134">
        <f>492100+126600</f>
        <v>618700</v>
      </c>
      <c r="AB10" s="132">
        <f t="shared" si="4"/>
        <v>0.14125527719411668</v>
      </c>
    </row>
    <row r="11" spans="1:28" ht="12.75">
      <c r="A11" s="7">
        <v>39701</v>
      </c>
      <c r="B11" s="8">
        <v>39728</v>
      </c>
      <c r="C11" s="108">
        <v>701300</v>
      </c>
      <c r="D11" s="5"/>
      <c r="E11" s="3">
        <f>pumpage!G43</f>
        <v>8831464.285714285</v>
      </c>
      <c r="F11" s="11">
        <f>pumpage!G42*10^-6</f>
        <v>247.28099999999998</v>
      </c>
      <c r="G11" s="3">
        <f t="shared" si="0"/>
        <v>2836.0448235003905</v>
      </c>
      <c r="H11" s="14">
        <f>(G11-H2)/H2</f>
        <v>0.7881745419296283</v>
      </c>
      <c r="I11" s="21"/>
      <c r="J11" s="45" t="s">
        <v>35</v>
      </c>
      <c r="K11" s="46">
        <f>21543.3+122119.04</f>
        <v>143662.34</v>
      </c>
      <c r="L11" s="36">
        <v>883200</v>
      </c>
      <c r="M11" s="47">
        <f t="shared" si="1"/>
        <v>0.16266116394927535</v>
      </c>
      <c r="O11" s="59" t="s">
        <v>35</v>
      </c>
      <c r="P11" s="60">
        <f>92151.18+19146.8</f>
        <v>111297.98</v>
      </c>
      <c r="Q11" s="64">
        <f>648200+130800</f>
        <v>779000</v>
      </c>
      <c r="R11" s="62">
        <f t="shared" si="2"/>
        <v>0.14287288831835687</v>
      </c>
      <c r="T11" s="85" t="s">
        <v>35</v>
      </c>
      <c r="U11" s="86">
        <f>19857.13+75958.35-252.78</f>
        <v>95562.70000000001</v>
      </c>
      <c r="V11" s="90">
        <v>684700</v>
      </c>
      <c r="W11" s="88">
        <f t="shared" si="3"/>
        <v>0.13956871622608444</v>
      </c>
      <c r="Y11" s="130" t="s">
        <v>35</v>
      </c>
      <c r="Z11" s="123">
        <f>75121.36+20612.34</f>
        <v>95733.7</v>
      </c>
      <c r="AA11" s="134">
        <f>534800+143600</f>
        <v>678400</v>
      </c>
      <c r="AB11" s="132">
        <f t="shared" si="4"/>
        <v>0.14111689268867925</v>
      </c>
    </row>
    <row r="12" spans="1:28" ht="12.75">
      <c r="A12" s="8">
        <v>39729</v>
      </c>
      <c r="B12" s="8">
        <v>39758</v>
      </c>
      <c r="C12" s="108">
        <v>752200</v>
      </c>
      <c r="D12" s="5"/>
      <c r="E12" s="3">
        <f>pumpage!H43</f>
        <v>8515333.333333334</v>
      </c>
      <c r="F12" s="11">
        <f>pumpage!H42*10^-6</f>
        <v>255.45999999999998</v>
      </c>
      <c r="G12" s="3">
        <f t="shared" si="0"/>
        <v>2944.492288420888</v>
      </c>
      <c r="H12" s="14">
        <f>(G12-H2)/H2</f>
        <v>0.8565525147672687</v>
      </c>
      <c r="J12" s="45" t="s">
        <v>36</v>
      </c>
      <c r="K12" s="46">
        <f>23922.85+119836.18</f>
        <v>143759.03</v>
      </c>
      <c r="L12" s="36">
        <v>850500</v>
      </c>
      <c r="M12" s="47">
        <f t="shared" si="1"/>
        <v>0.16902884185773073</v>
      </c>
      <c r="O12" s="59" t="s">
        <v>36</v>
      </c>
      <c r="P12" s="60">
        <f>98173.72+20890.26</f>
        <v>119063.98</v>
      </c>
      <c r="Q12" s="64">
        <f>679000+145600</f>
        <v>824600</v>
      </c>
      <c r="R12" s="62">
        <f t="shared" si="2"/>
        <v>0.1443899830220713</v>
      </c>
      <c r="T12" s="85" t="s">
        <v>36</v>
      </c>
      <c r="U12" s="86">
        <f>20149.85+74786.31-72.82</f>
        <v>94863.34</v>
      </c>
      <c r="V12" s="90">
        <v>688200</v>
      </c>
      <c r="W12" s="88">
        <f t="shared" si="3"/>
        <v>0.13784269107817496</v>
      </c>
      <c r="Y12" s="130" t="s">
        <v>36</v>
      </c>
      <c r="Z12" s="123">
        <f>63792.97+17086.09</f>
        <v>80879.06</v>
      </c>
      <c r="AA12" s="134">
        <f>457800+117400</f>
        <v>575200</v>
      </c>
      <c r="AB12" s="132">
        <f t="shared" si="4"/>
        <v>0.14061032684283728</v>
      </c>
    </row>
    <row r="13" spans="1:28" ht="12.75">
      <c r="A13" s="7">
        <v>39759</v>
      </c>
      <c r="B13" s="7">
        <v>39791</v>
      </c>
      <c r="C13" s="108">
        <v>883600</v>
      </c>
      <c r="D13" s="5"/>
      <c r="E13" s="3">
        <f>pumpage!I43</f>
        <v>7873939.393939394</v>
      </c>
      <c r="F13" s="11">
        <f>pumpage!I42*10^-6</f>
        <v>259.84</v>
      </c>
      <c r="G13" s="3">
        <f t="shared" si="0"/>
        <v>3400.5541871921187</v>
      </c>
      <c r="H13" s="14">
        <f>(G13-H2)/H2</f>
        <v>1.1441073059218907</v>
      </c>
      <c r="J13" s="45" t="s">
        <v>37</v>
      </c>
      <c r="K13" s="46">
        <f>17129.62+101236.35</f>
        <v>118365.97</v>
      </c>
      <c r="L13" s="36">
        <v>701300</v>
      </c>
      <c r="M13" s="47">
        <f t="shared" si="1"/>
        <v>0.16878079281334665</v>
      </c>
      <c r="O13" s="59" t="s">
        <v>37</v>
      </c>
      <c r="P13" s="60">
        <f>104767.46+20123.33</f>
        <v>124890.79000000001</v>
      </c>
      <c r="Q13" s="64">
        <f>749000+140600</f>
        <v>889600</v>
      </c>
      <c r="R13" s="62">
        <f t="shared" si="2"/>
        <v>0.14038982688848922</v>
      </c>
      <c r="T13" s="85" t="s">
        <v>37</v>
      </c>
      <c r="U13" s="86">
        <f>15906.17+59151.77-61.32</f>
        <v>74996.62</v>
      </c>
      <c r="V13" s="90">
        <v>536800</v>
      </c>
      <c r="W13" s="88">
        <f t="shared" si="3"/>
        <v>0.1397105439642325</v>
      </c>
      <c r="Y13" s="130" t="s">
        <v>37</v>
      </c>
      <c r="Z13" s="123">
        <f>62277.44+16050.91-58.79</f>
        <v>78269.56000000001</v>
      </c>
      <c r="AA13" s="134">
        <f>436100+106400</f>
        <v>542500</v>
      </c>
      <c r="AB13" s="132">
        <f t="shared" si="4"/>
        <v>0.14427568663594473</v>
      </c>
    </row>
    <row r="14" spans="1:28" ht="12.75">
      <c r="A14" s="8">
        <v>39792</v>
      </c>
      <c r="B14" s="7">
        <v>39825</v>
      </c>
      <c r="C14" s="108">
        <v>868500</v>
      </c>
      <c r="D14" s="3"/>
      <c r="E14" s="3">
        <f>pumpage!J43</f>
        <v>7710911.764705882</v>
      </c>
      <c r="F14" s="11">
        <f>pumpage!J42*10^-6</f>
        <v>262.171</v>
      </c>
      <c r="G14" s="3">
        <f t="shared" si="0"/>
        <v>3312.7233752016814</v>
      </c>
      <c r="H14" s="14">
        <f>(G14-H2)/H2</f>
        <v>1.088728483733721</v>
      </c>
      <c r="J14" s="45" t="s">
        <v>38</v>
      </c>
      <c r="K14" s="46">
        <f>18432.08+108052.27</f>
        <v>126484.35</v>
      </c>
      <c r="L14" s="36">
        <v>752200</v>
      </c>
      <c r="M14" s="47">
        <f t="shared" si="1"/>
        <v>0.16815255251262962</v>
      </c>
      <c r="O14" s="59" t="s">
        <v>38</v>
      </c>
      <c r="P14" s="60">
        <f>16605.14+81408.75</f>
        <v>98013.89</v>
      </c>
      <c r="Q14" s="64">
        <f>114200+574000</f>
        <v>688200</v>
      </c>
      <c r="R14" s="62">
        <f t="shared" si="2"/>
        <v>0.14242064806742227</v>
      </c>
      <c r="T14" s="85" t="s">
        <v>38</v>
      </c>
      <c r="U14" s="86">
        <f>15558.68+57031.86-51.69-391.4</f>
        <v>72147.45000000001</v>
      </c>
      <c r="V14" s="90">
        <v>504300</v>
      </c>
      <c r="W14" s="88">
        <f t="shared" si="3"/>
        <v>0.14306454491374185</v>
      </c>
      <c r="Y14" s="130" t="s">
        <v>38</v>
      </c>
      <c r="Z14" s="123">
        <f>62107.42+15958.78-193.84</f>
        <v>77872.36</v>
      </c>
      <c r="AA14" s="134">
        <f>429100+107800</f>
        <v>536900</v>
      </c>
      <c r="AB14" s="132">
        <f t="shared" si="4"/>
        <v>0.14504071521698642</v>
      </c>
    </row>
    <row r="15" spans="1:28" ht="12.75">
      <c r="A15" s="7">
        <v>39826</v>
      </c>
      <c r="B15" s="7">
        <v>39853</v>
      </c>
      <c r="C15" s="108">
        <v>724100</v>
      </c>
      <c r="D15" s="3"/>
      <c r="E15" s="3">
        <f>pumpage!K43</f>
        <v>8010464.285714285</v>
      </c>
      <c r="F15" s="11">
        <f>pumpage!K42*10^-6</f>
        <v>224.29299999999998</v>
      </c>
      <c r="G15" s="3">
        <f aca="true" t="shared" si="5" ref="G15:G20">C15/F15</f>
        <v>3228.3664670765475</v>
      </c>
      <c r="H15" s="14">
        <f>(G15-H2)/H2</f>
        <v>1.0355400170722242</v>
      </c>
      <c r="J15" s="45" t="s">
        <v>39</v>
      </c>
      <c r="K15" s="46">
        <f>20922.21+126600.49</f>
        <v>147522.7</v>
      </c>
      <c r="L15" s="36">
        <v>883600</v>
      </c>
      <c r="M15" s="47">
        <f t="shared" si="1"/>
        <v>0.16695642824807608</v>
      </c>
      <c r="O15" s="59" t="s">
        <v>39</v>
      </c>
      <c r="P15" s="60">
        <v>114807.37</v>
      </c>
      <c r="Q15" s="64">
        <v>814000</v>
      </c>
      <c r="R15" s="62">
        <f t="shared" si="2"/>
        <v>0.14104099508599507</v>
      </c>
      <c r="T15" s="85" t="s">
        <v>39</v>
      </c>
      <c r="U15" s="86">
        <f>16547.33+58982.24-51.05-173.59</f>
        <v>75304.93000000001</v>
      </c>
      <c r="V15" s="90">
        <v>535400</v>
      </c>
      <c r="W15" s="88">
        <f t="shared" si="3"/>
        <v>0.14065171834142698</v>
      </c>
      <c r="Y15" s="130" t="s">
        <v>39</v>
      </c>
      <c r="Z15" s="123">
        <f>66530.75+18428.35</f>
        <v>84959.1</v>
      </c>
      <c r="AA15" s="134">
        <f>471100+127000</f>
        <v>598100</v>
      </c>
      <c r="AB15" s="132">
        <f t="shared" si="4"/>
        <v>0.14204831967898346</v>
      </c>
    </row>
    <row r="16" spans="1:28" ht="12.75">
      <c r="A16" s="7">
        <v>39854</v>
      </c>
      <c r="B16" s="7">
        <v>39883</v>
      </c>
      <c r="C16" s="108">
        <v>780300</v>
      </c>
      <c r="D16" s="33">
        <f>SUM(C5:C16)</f>
        <v>9476200</v>
      </c>
      <c r="E16" s="3">
        <f>pumpage!L43</f>
        <v>7682433.333333333</v>
      </c>
      <c r="F16" s="11">
        <f>pumpage!L42*10^-6</f>
        <v>230.47299999999998</v>
      </c>
      <c r="G16" s="3">
        <f t="shared" si="5"/>
        <v>3385.6460409679225</v>
      </c>
      <c r="H16" s="14">
        <f>(G16-H2)/H2</f>
        <v>1.1347074659318552</v>
      </c>
      <c r="J16" s="45" t="s">
        <v>40</v>
      </c>
      <c r="K16" s="46">
        <f>20068.76+115711.42</f>
        <v>135780.18</v>
      </c>
      <c r="L16" s="36">
        <v>868500</v>
      </c>
      <c r="M16" s="47">
        <f t="shared" si="1"/>
        <v>0.1563387219343696</v>
      </c>
      <c r="O16" s="59" t="s">
        <v>40</v>
      </c>
      <c r="P16" s="60">
        <v>122835.95</v>
      </c>
      <c r="Q16" s="64">
        <v>872700</v>
      </c>
      <c r="R16" s="62">
        <f t="shared" si="2"/>
        <v>0.14075392460181047</v>
      </c>
      <c r="T16" s="85" t="s">
        <v>40</v>
      </c>
      <c r="U16" s="86">
        <f>61794+16508.23</f>
        <v>78302.23</v>
      </c>
      <c r="V16" s="90">
        <v>561800</v>
      </c>
      <c r="W16" s="88">
        <f t="shared" si="3"/>
        <v>0.13937741189035244</v>
      </c>
      <c r="Y16" s="130" t="s">
        <v>40</v>
      </c>
      <c r="Z16" s="135">
        <f>16650.27+4928.3-203.06-57.36+28679.07+7748.54</f>
        <v>57745.76</v>
      </c>
      <c r="AA16" s="134">
        <f>424900+114800</f>
        <v>539700</v>
      </c>
      <c r="AB16" s="132">
        <f t="shared" si="4"/>
        <v>0.10699603483416713</v>
      </c>
    </row>
    <row r="17" spans="1:28" ht="12.75">
      <c r="A17" s="7">
        <v>39884</v>
      </c>
      <c r="B17" s="7">
        <v>39915</v>
      </c>
      <c r="C17" s="3">
        <v>801100</v>
      </c>
      <c r="D17" s="3">
        <f>SUM(C6:C17)</f>
        <v>9640100</v>
      </c>
      <c r="E17" s="3">
        <f>pumpage!M43</f>
        <v>7732593.75</v>
      </c>
      <c r="F17" s="11">
        <f>pumpage!M42*10^-6</f>
        <v>247.44299999999998</v>
      </c>
      <c r="G17" s="3">
        <f t="shared" si="5"/>
        <v>3237.5132858880634</v>
      </c>
      <c r="H17" s="14">
        <f>(G17-H2)/H2</f>
        <v>1.0413072420479592</v>
      </c>
      <c r="J17" s="45" t="s">
        <v>41</v>
      </c>
      <c r="K17" s="46">
        <f>15853.23+85118.23</f>
        <v>100971.45999999999</v>
      </c>
      <c r="L17" s="36">
        <v>724100</v>
      </c>
      <c r="M17" s="47">
        <f t="shared" si="1"/>
        <v>0.13944408230907332</v>
      </c>
      <c r="O17" s="59" t="s">
        <v>41</v>
      </c>
      <c r="P17" s="60">
        <v>109828.18</v>
      </c>
      <c r="Q17" s="64">
        <v>766300</v>
      </c>
      <c r="R17" s="62">
        <f t="shared" si="2"/>
        <v>0.14332269346209056</v>
      </c>
      <c r="T17" s="85" t="s">
        <v>41</v>
      </c>
      <c r="U17" s="86">
        <f>56068.9+15353.03-105.54</f>
        <v>71316.39000000001</v>
      </c>
      <c r="V17" s="90">
        <v>498300</v>
      </c>
      <c r="W17" s="88">
        <f t="shared" si="3"/>
        <v>0.14311938591210116</v>
      </c>
      <c r="Y17" s="130" t="s">
        <v>41</v>
      </c>
      <c r="Z17" s="135">
        <f>15000.31+4603.51-59.83+27734.11+6925.09</f>
        <v>54203.19</v>
      </c>
      <c r="AA17" s="134">
        <f>410900+102600</f>
        <v>513500</v>
      </c>
      <c r="AB17" s="132">
        <f t="shared" si="4"/>
        <v>0.10555635832521909</v>
      </c>
    </row>
    <row r="18" spans="1:28" ht="12.75">
      <c r="A18" s="7">
        <v>39916</v>
      </c>
      <c r="B18" s="8" t="s">
        <v>49</v>
      </c>
      <c r="C18" s="3">
        <v>742600</v>
      </c>
      <c r="D18" s="3">
        <f aca="true" t="shared" si="6" ref="D18:D26">SUM(C7:C18)</f>
        <v>9660600</v>
      </c>
      <c r="E18" s="3">
        <f>pumpage!N43</f>
        <v>8553172.413793104</v>
      </c>
      <c r="F18" s="11">
        <f>pumpage!N42*10^-6</f>
        <v>248.042</v>
      </c>
      <c r="G18" s="3">
        <f t="shared" si="5"/>
        <v>2993.847816095661</v>
      </c>
      <c r="H18" s="14">
        <f>(G18-H2)/H2</f>
        <v>0.8876720151927245</v>
      </c>
      <c r="J18" s="45" t="s">
        <v>42</v>
      </c>
      <c r="K18" s="46">
        <f>16725.7+91332.31</f>
        <v>108058.01</v>
      </c>
      <c r="L18" s="36">
        <v>780300</v>
      </c>
      <c r="M18" s="47">
        <f t="shared" si="1"/>
        <v>0.13848264769960272</v>
      </c>
      <c r="O18" s="59" t="s">
        <v>42</v>
      </c>
      <c r="P18" s="60">
        <v>109142.16</v>
      </c>
      <c r="Q18" s="64">
        <v>784800</v>
      </c>
      <c r="R18" s="62">
        <f t="shared" si="2"/>
        <v>0.13907003058103976</v>
      </c>
      <c r="T18" s="85" t="s">
        <v>42</v>
      </c>
      <c r="U18" s="119">
        <f>55361.1+14425.56</f>
        <v>69786.66</v>
      </c>
      <c r="V18" s="90">
        <v>490100</v>
      </c>
      <c r="W18" s="88">
        <f t="shared" si="3"/>
        <v>0.1423926953682922</v>
      </c>
      <c r="Y18" s="130" t="s">
        <v>42</v>
      </c>
      <c r="Z18" s="135">
        <f>17629.45+4880.7-388.46-57.52+29482.27+7357.06</f>
        <v>58903.5</v>
      </c>
      <c r="AA18" s="134">
        <f>436800+109000</f>
        <v>545800</v>
      </c>
      <c r="AB18" s="132">
        <f t="shared" si="4"/>
        <v>0.10792139978013925</v>
      </c>
    </row>
    <row r="19" spans="1:28" ht="12.75">
      <c r="A19" s="7">
        <v>39945</v>
      </c>
      <c r="B19" s="7">
        <v>39974</v>
      </c>
      <c r="C19" s="3">
        <v>783400</v>
      </c>
      <c r="D19" s="3">
        <f t="shared" si="6"/>
        <v>9619400</v>
      </c>
      <c r="E19" s="3">
        <f>pumpage!O43</f>
        <v>9444233.333333334</v>
      </c>
      <c r="F19" s="11">
        <f>pumpage!O42*10^-6</f>
        <v>283.327</v>
      </c>
      <c r="G19" s="3">
        <f t="shared" si="5"/>
        <v>2765.002982419607</v>
      </c>
      <c r="H19" s="14">
        <f>(G19-H2)/H2</f>
        <v>0.7433814517147587</v>
      </c>
      <c r="J19" s="42"/>
      <c r="K19" s="46"/>
      <c r="L19" s="36"/>
      <c r="M19" s="44"/>
      <c r="O19" s="56"/>
      <c r="P19" s="60"/>
      <c r="Q19" s="64"/>
      <c r="R19" s="58"/>
      <c r="T19" s="82"/>
      <c r="U19" s="86"/>
      <c r="V19" s="90"/>
      <c r="W19" s="84"/>
      <c r="Y19" s="127"/>
      <c r="Z19" s="123"/>
      <c r="AA19" s="134"/>
      <c r="AB19" s="129"/>
    </row>
    <row r="20" spans="1:28" ht="12.75">
      <c r="A20" s="7">
        <v>39975</v>
      </c>
      <c r="B20" s="7">
        <v>40007</v>
      </c>
      <c r="C20" s="3">
        <v>819700</v>
      </c>
      <c r="D20" s="3">
        <f t="shared" si="6"/>
        <v>9590500</v>
      </c>
      <c r="E20" s="3">
        <f>pumpage!P43</f>
        <v>8557060.606060605</v>
      </c>
      <c r="F20" s="11">
        <f>pumpage!P42*10^-6</f>
        <v>282.383</v>
      </c>
      <c r="G20" s="3">
        <f t="shared" si="5"/>
        <v>2902.7951399340614</v>
      </c>
      <c r="H20" s="14">
        <f>(G20-H2)/H2</f>
        <v>0.8302617527957512</v>
      </c>
      <c r="J20" s="48" t="s">
        <v>43</v>
      </c>
      <c r="K20" s="49"/>
      <c r="L20" s="50"/>
      <c r="M20" s="51">
        <f>AVERAGE(M7:M18)</f>
        <v>0.15067356591927558</v>
      </c>
      <c r="O20" s="65" t="s">
        <v>43</v>
      </c>
      <c r="P20" s="66"/>
      <c r="Q20" s="67"/>
      <c r="R20" s="68">
        <f>AVERAGE(R7:R18)</f>
        <v>0.14183691182993136</v>
      </c>
      <c r="T20" s="91" t="s">
        <v>43</v>
      </c>
      <c r="U20" s="92"/>
      <c r="V20" s="93"/>
      <c r="W20" s="94">
        <f>AVERAGE(W7:W18)</f>
        <v>0.1398498960135535</v>
      </c>
      <c r="Y20" s="136" t="s">
        <v>43</v>
      </c>
      <c r="Z20" s="137"/>
      <c r="AA20" s="138"/>
      <c r="AB20" s="139">
        <f>AVERAGE(AB7:AB18)</f>
        <v>0.13359283685298637</v>
      </c>
    </row>
    <row r="21" spans="1:12" ht="12.75">
      <c r="A21" s="7">
        <v>40008</v>
      </c>
      <c r="B21" s="7">
        <v>40036</v>
      </c>
      <c r="C21" s="3">
        <v>779000</v>
      </c>
      <c r="D21" s="3">
        <f t="shared" si="6"/>
        <v>9486300</v>
      </c>
      <c r="E21" s="3">
        <f>pumpage!Q43</f>
        <v>9321724.137931034</v>
      </c>
      <c r="F21" s="11">
        <f>pumpage!Q42*10^-6</f>
        <v>270.33</v>
      </c>
      <c r="G21" s="3">
        <f aca="true" t="shared" si="7" ref="G21:G79">C21/F21</f>
        <v>2881.66315244331</v>
      </c>
      <c r="H21" s="14">
        <f>(G21-H2)/H2</f>
        <v>0.8169376749327302</v>
      </c>
      <c r="K21" s="27"/>
      <c r="L21" s="16"/>
    </row>
    <row r="22" spans="1:12" ht="12.75">
      <c r="A22" s="7">
        <v>40037</v>
      </c>
      <c r="B22" s="7">
        <v>40065</v>
      </c>
      <c r="C22" s="3">
        <v>824600</v>
      </c>
      <c r="D22" s="3">
        <f t="shared" si="6"/>
        <v>9460400</v>
      </c>
      <c r="E22" s="3">
        <f>pumpage!R43</f>
        <v>10624206.896551725</v>
      </c>
      <c r="F22" s="11">
        <f>pumpage!R42*10^-6</f>
        <v>308.102</v>
      </c>
      <c r="G22" s="3">
        <f t="shared" si="7"/>
        <v>2676.3863915196916</v>
      </c>
      <c r="H22" s="14">
        <f>(G22-H2)/H2</f>
        <v>0.6875071825470943</v>
      </c>
      <c r="K22" s="27"/>
      <c r="L22" s="16"/>
    </row>
    <row r="23" spans="1:12" ht="12.75">
      <c r="A23" s="7">
        <v>40066</v>
      </c>
      <c r="B23" s="7">
        <v>40097</v>
      </c>
      <c r="C23" s="3">
        <v>889600</v>
      </c>
      <c r="D23" s="3">
        <f t="shared" si="6"/>
        <v>9648700</v>
      </c>
      <c r="E23" s="3">
        <f>pumpage!S43</f>
        <v>8829500</v>
      </c>
      <c r="F23" s="11">
        <f>pumpage!S42*10^-6</f>
        <v>282.544</v>
      </c>
      <c r="G23" s="3">
        <f t="shared" si="7"/>
        <v>3148.536157200295</v>
      </c>
      <c r="H23" s="14">
        <f>(G23-H2)/H2</f>
        <v>0.9852056476672729</v>
      </c>
      <c r="K23" s="38"/>
      <c r="L23" s="16"/>
    </row>
    <row r="24" spans="1:26" ht="12.75">
      <c r="A24" s="7">
        <v>40098</v>
      </c>
      <c r="B24" s="7">
        <v>40125</v>
      </c>
      <c r="C24" s="3">
        <v>688200</v>
      </c>
      <c r="D24" s="3">
        <f t="shared" si="6"/>
        <v>9584700</v>
      </c>
      <c r="E24" s="3">
        <f>pumpage!T43</f>
        <v>8156821.428571428</v>
      </c>
      <c r="F24" s="11">
        <f>pumpage!T42*10^-6</f>
        <v>228.391</v>
      </c>
      <c r="G24" s="3">
        <f t="shared" si="7"/>
        <v>3013.253587050278</v>
      </c>
      <c r="H24" s="14">
        <f>(G24-H2)/H2</f>
        <v>0.8999076841426721</v>
      </c>
      <c r="J24" s="37" t="s">
        <v>44</v>
      </c>
      <c r="K24" s="76" t="s">
        <v>46</v>
      </c>
      <c r="L24" s="39"/>
      <c r="O24" s="71" t="s">
        <v>44</v>
      </c>
      <c r="P24" s="77" t="s">
        <v>46</v>
      </c>
      <c r="T24" s="95" t="s">
        <v>44</v>
      </c>
      <c r="U24" s="96" t="s">
        <v>46</v>
      </c>
      <c r="Y24" s="140" t="s">
        <v>44</v>
      </c>
      <c r="Z24" s="141" t="s">
        <v>46</v>
      </c>
    </row>
    <row r="25" spans="1:26" ht="12.75">
      <c r="A25" s="7">
        <v>40126</v>
      </c>
      <c r="B25" s="7">
        <v>40156</v>
      </c>
      <c r="C25" s="3">
        <v>814000</v>
      </c>
      <c r="D25" s="3">
        <f t="shared" si="6"/>
        <v>9515100</v>
      </c>
      <c r="E25" s="3">
        <f>pumpage!U43</f>
        <v>7547645.161290322</v>
      </c>
      <c r="F25" s="11">
        <f>pumpage!U42*10^-6</f>
        <v>233.97699999999998</v>
      </c>
      <c r="G25" s="3">
        <f t="shared" si="7"/>
        <v>3478.974429110554</v>
      </c>
      <c r="H25" s="14">
        <f>(G25-H2)/H2</f>
        <v>1.193552603474498</v>
      </c>
      <c r="J25" s="28" t="s">
        <v>45</v>
      </c>
      <c r="K25" s="29"/>
      <c r="L25" s="15"/>
      <c r="O25" s="72" t="s">
        <v>45</v>
      </c>
      <c r="P25" s="78"/>
      <c r="T25" s="97" t="s">
        <v>45</v>
      </c>
      <c r="U25" s="98"/>
      <c r="Y25" s="142" t="s">
        <v>45</v>
      </c>
      <c r="Z25" s="143"/>
    </row>
    <row r="26" spans="1:26" ht="12.75">
      <c r="A26" s="7">
        <v>40157</v>
      </c>
      <c r="B26" s="7">
        <v>40189</v>
      </c>
      <c r="C26" s="3">
        <v>872700</v>
      </c>
      <c r="D26" s="3">
        <f t="shared" si="6"/>
        <v>9519300</v>
      </c>
      <c r="E26" s="3">
        <f>pumpage!V43</f>
        <v>7685121.212121212</v>
      </c>
      <c r="F26" s="11">
        <f>pumpage!V42*10^-6</f>
        <v>253.60899999999998</v>
      </c>
      <c r="G26" s="3">
        <f t="shared" si="7"/>
        <v>3441.1239348761283</v>
      </c>
      <c r="H26" s="14">
        <f>(G26-H2)/H2</f>
        <v>1.1696872224944062</v>
      </c>
      <c r="J26" s="74">
        <f>D16-7472863</f>
        <v>2003337</v>
      </c>
      <c r="K26" s="30">
        <f>J26*M20</f>
        <v>301849.9295280238</v>
      </c>
      <c r="O26" s="75">
        <f>D28-7472863</f>
        <v>2093137</v>
      </c>
      <c r="P26" s="73">
        <f>O26*R20</f>
        <v>296884.088116967</v>
      </c>
      <c r="T26" s="99">
        <f>D40-7472863</f>
        <v>213437</v>
      </c>
      <c r="U26" s="100">
        <f>T26*W20</f>
        <v>29849.142255444818</v>
      </c>
      <c r="Y26" s="144">
        <v>0</v>
      </c>
      <c r="Z26" s="145">
        <f>Y26*AB20</f>
        <v>0</v>
      </c>
    </row>
    <row r="27" spans="1:8" ht="12.75">
      <c r="A27" s="7">
        <v>40190</v>
      </c>
      <c r="B27" s="7">
        <v>40218</v>
      </c>
      <c r="C27" s="3">
        <v>766300</v>
      </c>
      <c r="D27" s="3">
        <f aca="true" t="shared" si="8" ref="D27:D87">SUM(C16:C27)</f>
        <v>9561500</v>
      </c>
      <c r="E27" s="3">
        <f>pumpage!W43</f>
        <v>7846535.714285715</v>
      </c>
      <c r="F27" s="11">
        <f>pumpage!W42*10^-6</f>
        <v>227.457</v>
      </c>
      <c r="G27" s="3">
        <f t="shared" si="7"/>
        <v>3368.9884241856703</v>
      </c>
      <c r="H27" s="14">
        <f>(G27-H2)/H2</f>
        <v>1.1242045549720494</v>
      </c>
    </row>
    <row r="28" spans="1:8" ht="12.75">
      <c r="A28" s="7">
        <v>40219</v>
      </c>
      <c r="B28" s="7">
        <v>40248</v>
      </c>
      <c r="C28" s="3">
        <v>784800</v>
      </c>
      <c r="D28" s="69">
        <f t="shared" si="8"/>
        <v>9566000</v>
      </c>
      <c r="E28" s="3">
        <f>pumpage!X43</f>
        <v>7575400</v>
      </c>
      <c r="F28" s="11">
        <f>pumpage!X42*10^-6</f>
        <v>227.262</v>
      </c>
      <c r="G28" s="3">
        <f t="shared" si="7"/>
        <v>3453.282994957362</v>
      </c>
      <c r="H28" s="14">
        <f>(G28-H2)/H2</f>
        <v>1.1773537168709722</v>
      </c>
    </row>
    <row r="29" spans="1:8" ht="12.75">
      <c r="A29" s="7">
        <v>40249</v>
      </c>
      <c r="B29" s="7">
        <v>40280</v>
      </c>
      <c r="C29" s="3">
        <v>833600</v>
      </c>
      <c r="D29" s="3">
        <f t="shared" si="8"/>
        <v>9598500</v>
      </c>
      <c r="E29" s="3">
        <f>pumpage!Y43</f>
        <v>7763343.75</v>
      </c>
      <c r="F29" s="11">
        <f>pumpage!Y42*10^-6</f>
        <v>248.427</v>
      </c>
      <c r="G29" s="3">
        <f t="shared" si="7"/>
        <v>3355.5128870855424</v>
      </c>
      <c r="H29" s="14">
        <f>(G29-H2)/H2</f>
        <v>1.115707999423419</v>
      </c>
    </row>
    <row r="30" spans="1:28" ht="12.75">
      <c r="A30" s="7">
        <v>40281</v>
      </c>
      <c r="B30" s="7">
        <v>40309</v>
      </c>
      <c r="C30" s="3">
        <v>761600</v>
      </c>
      <c r="D30" s="3">
        <f t="shared" si="8"/>
        <v>9617500</v>
      </c>
      <c r="E30" s="3">
        <f>pumpage!Z43</f>
        <v>8168379.310344827</v>
      </c>
      <c r="F30" s="11">
        <f>pumpage!Z42*10^-6</f>
        <v>236.88299999999998</v>
      </c>
      <c r="G30" s="3">
        <f t="shared" si="7"/>
        <v>3215.0893056909954</v>
      </c>
      <c r="H30" s="14">
        <f>(G30-H2)/H2</f>
        <v>1.0271685407887738</v>
      </c>
      <c r="J30" s="149" t="s">
        <v>102</v>
      </c>
      <c r="K30" s="150" t="s">
        <v>28</v>
      </c>
      <c r="L30" s="150" t="s">
        <v>29</v>
      </c>
      <c r="M30" s="151" t="s">
        <v>30</v>
      </c>
      <c r="O30" s="174" t="s">
        <v>105</v>
      </c>
      <c r="P30" s="175" t="s">
        <v>28</v>
      </c>
      <c r="Q30" s="175" t="s">
        <v>29</v>
      </c>
      <c r="R30" s="176" t="s">
        <v>30</v>
      </c>
      <c r="T30" s="198" t="s">
        <v>114</v>
      </c>
      <c r="U30" s="199" t="s">
        <v>28</v>
      </c>
      <c r="V30" s="199" t="s">
        <v>29</v>
      </c>
      <c r="W30" s="200" t="s">
        <v>30</v>
      </c>
      <c r="Y30" s="247" t="s">
        <v>131</v>
      </c>
      <c r="Z30" s="225" t="s">
        <v>28</v>
      </c>
      <c r="AA30" s="225" t="s">
        <v>29</v>
      </c>
      <c r="AB30" s="226" t="s">
        <v>30</v>
      </c>
    </row>
    <row r="31" spans="1:28" ht="12.75">
      <c r="A31" s="7">
        <v>40310</v>
      </c>
      <c r="B31" s="7">
        <v>40338</v>
      </c>
      <c r="C31" s="3">
        <v>749600</v>
      </c>
      <c r="D31" s="3">
        <f t="shared" si="8"/>
        <v>9583700</v>
      </c>
      <c r="E31" s="3">
        <f>pumpage!AA43</f>
        <v>9702620.689655172</v>
      </c>
      <c r="F31" s="11">
        <f>pumpage!AA42*10^-6</f>
        <v>281.376</v>
      </c>
      <c r="G31" s="3">
        <f t="shared" si="7"/>
        <v>2664.0509496190152</v>
      </c>
      <c r="H31" s="14">
        <f>(G31-H2)/H2</f>
        <v>0.6797294764306527</v>
      </c>
      <c r="J31" s="152"/>
      <c r="K31" s="153"/>
      <c r="L31" s="153"/>
      <c r="M31" s="154"/>
      <c r="O31" s="177"/>
      <c r="P31" s="178"/>
      <c r="Q31" s="178"/>
      <c r="R31" s="179"/>
      <c r="T31" s="201"/>
      <c r="U31" s="202"/>
      <c r="V31" s="202"/>
      <c r="W31" s="203"/>
      <c r="Y31" s="227"/>
      <c r="Z31" s="228"/>
      <c r="AA31" s="228"/>
      <c r="AB31" s="229"/>
    </row>
    <row r="32" spans="1:28" ht="12.75">
      <c r="A32" s="7">
        <v>40339</v>
      </c>
      <c r="B32" s="7">
        <v>40372</v>
      </c>
      <c r="C32" s="3">
        <v>841900</v>
      </c>
      <c r="D32" s="3">
        <f t="shared" si="8"/>
        <v>9605900</v>
      </c>
      <c r="E32" s="3">
        <f>pumpage!AB43</f>
        <v>10771705.88235294</v>
      </c>
      <c r="F32" s="102">
        <f>pumpage!AB42*10^-6</f>
        <v>366.238</v>
      </c>
      <c r="G32" s="3">
        <f t="shared" si="7"/>
        <v>2298.778390008683</v>
      </c>
      <c r="H32" s="103">
        <f>(G32-H2)/H2</f>
        <v>0.4494189092110233</v>
      </c>
      <c r="J32" s="155" t="s">
        <v>31</v>
      </c>
      <c r="K32" s="156">
        <f>14036+4455.16-917.34-14-287.47-61.01+24426.8+7330.07</f>
        <v>48968.21</v>
      </c>
      <c r="L32" s="157">
        <f>361900+108600</f>
        <v>470500</v>
      </c>
      <c r="M32" s="158">
        <f>K32/L32</f>
        <v>0.10407696068012752</v>
      </c>
      <c r="O32" s="180" t="s">
        <v>31</v>
      </c>
      <c r="P32" s="173">
        <f>16315.07+5362.77-1062.64-71.93-336.94-212.42+24668.49+986.74+6464.04+258.56</f>
        <v>52371.740000000005</v>
      </c>
      <c r="Q32" s="181">
        <f>380100+99600</f>
        <v>479700</v>
      </c>
      <c r="R32" s="182">
        <f aca="true" t="shared" si="9" ref="R32:R37">P32/Q32</f>
        <v>0.10917602668334377</v>
      </c>
      <c r="T32" s="204" t="s">
        <v>31</v>
      </c>
      <c r="U32" s="205">
        <f>20121.42+6153.2-1316.35-395.54-107.13+25895.1+1035.81+7476.48+299.06</f>
        <v>59162.04999999999</v>
      </c>
      <c r="V32" s="206">
        <f>399000+115200</f>
        <v>514200</v>
      </c>
      <c r="W32" s="207">
        <f aca="true" t="shared" si="10" ref="W32:W38">U32/V32</f>
        <v>0.11505649552703226</v>
      </c>
      <c r="Y32" s="230" t="s">
        <v>31</v>
      </c>
      <c r="Z32" s="231">
        <f>17282.45+720.1+3943.78+164.32+38734.86+1549.4+6806.36+272.26</f>
        <v>69473.52999999998</v>
      </c>
      <c r="AA32" s="232">
        <f>429100+75400</f>
        <v>504500</v>
      </c>
      <c r="AB32" s="233">
        <f>Z32/AA32</f>
        <v>0.1377076907829534</v>
      </c>
    </row>
    <row r="33" spans="1:28" ht="12.75">
      <c r="A33" s="7">
        <v>40373</v>
      </c>
      <c r="B33" s="7">
        <v>40401</v>
      </c>
      <c r="C33" s="3">
        <v>684700</v>
      </c>
      <c r="D33" s="3">
        <f t="shared" si="8"/>
        <v>9511600</v>
      </c>
      <c r="E33" s="3">
        <f>pumpage!AC43</f>
        <v>10802896.551724138</v>
      </c>
      <c r="F33" s="102">
        <f>pumpage!AC42*10^-6</f>
        <v>313.284</v>
      </c>
      <c r="G33" s="3">
        <f t="shared" si="7"/>
        <v>2185.5568749122203</v>
      </c>
      <c r="H33" s="103">
        <f>(G33-H2)/H2</f>
        <v>0.37803081646419945</v>
      </c>
      <c r="J33" s="155" t="s">
        <v>32</v>
      </c>
      <c r="K33" s="156">
        <f>14862.29+4841.19-972.3-316.71+25655.23+7235.57</f>
        <v>51305.27</v>
      </c>
      <c r="L33" s="159">
        <f>380100+107200</f>
        <v>487300</v>
      </c>
      <c r="M33" s="158">
        <f aca="true" t="shared" si="11" ref="M33:M43">K33/L33</f>
        <v>0.1052847732403037</v>
      </c>
      <c r="O33" s="180" t="s">
        <v>32</v>
      </c>
      <c r="P33" s="173">
        <f>20128.33+6044.48-1310.19-101.14-388.11-111.88+30256.38+1210.27+7437.54+297.5</f>
        <v>63463.18</v>
      </c>
      <c r="Q33" s="183">
        <f>466200+114600</f>
        <v>580800</v>
      </c>
      <c r="R33" s="182">
        <f t="shared" si="9"/>
        <v>0.1092685606060606</v>
      </c>
      <c r="T33" s="204" t="s">
        <v>32</v>
      </c>
      <c r="U33" s="205">
        <f>20962.45+6256.32-1368.12-49.77-397.25-184.05+28166.6+1126.67+7593.3+303.74</f>
        <v>62409.89</v>
      </c>
      <c r="V33" s="208">
        <f>434000+117000</f>
        <v>551000</v>
      </c>
      <c r="W33" s="207">
        <f t="shared" si="10"/>
        <v>0.11326658802177858</v>
      </c>
      <c r="Y33" s="230" t="s">
        <v>32</v>
      </c>
      <c r="Z33" s="231">
        <f>17144.93+714.37+3485.91+137.38+37218.32+1488.74+5993.93+239.76</f>
        <v>66423.34</v>
      </c>
      <c r="AA33" s="234">
        <f>412300+66400</f>
        <v>478700</v>
      </c>
      <c r="AB33" s="233">
        <f aca="true" t="shared" si="12" ref="AB33:AB43">Z33/AA33</f>
        <v>0.1387577606016294</v>
      </c>
    </row>
    <row r="34" spans="1:28" ht="12.75">
      <c r="A34" s="7">
        <v>40402</v>
      </c>
      <c r="B34" s="7">
        <v>40433</v>
      </c>
      <c r="C34" s="3">
        <v>688200</v>
      </c>
      <c r="D34" s="3">
        <f t="shared" si="8"/>
        <v>9375200</v>
      </c>
      <c r="E34" s="3">
        <f>pumpage!AD43</f>
        <v>10148531.25</v>
      </c>
      <c r="F34" s="102">
        <f>pumpage!AD42*10^-6</f>
        <v>324.753</v>
      </c>
      <c r="G34" s="3">
        <f t="shared" si="7"/>
        <v>2119.1490147897016</v>
      </c>
      <c r="H34" s="103">
        <f>(G34-H2)/H2</f>
        <v>0.33615953013222044</v>
      </c>
      <c r="J34" s="155" t="s">
        <v>33</v>
      </c>
      <c r="K34" s="156">
        <f>17870.08+5218.95-1153.57-341.17-236.88-3.96+29484.07+7800.98+1179.36+312.04</f>
        <v>60129.9</v>
      </c>
      <c r="L34" s="160">
        <f>454300+120200</f>
        <v>574500</v>
      </c>
      <c r="M34" s="158">
        <f t="shared" si="11"/>
        <v>0.10466475195822454</v>
      </c>
      <c r="O34" s="180" t="s">
        <v>33</v>
      </c>
      <c r="P34" s="173">
        <f>22602.44+6695.27-1468.93-148.81-429.68-127.27+29711.22+1188.45+8631.7+345.27</f>
        <v>66999.66</v>
      </c>
      <c r="Q34" s="184">
        <f>457800+133000</f>
        <v>590800</v>
      </c>
      <c r="R34" s="182">
        <f t="shared" si="9"/>
        <v>0.11340497630331754</v>
      </c>
      <c r="T34" s="204" t="s">
        <v>33</v>
      </c>
      <c r="U34" s="205">
        <f>22041.31+5962.62-1438.63-50.83-382.42-117.04+30074.66+1202.99+7113.04+284.53</f>
        <v>64690.229999999996</v>
      </c>
      <c r="V34" s="209">
        <f>463400+109600</f>
        <v>573000</v>
      </c>
      <c r="W34" s="207">
        <f t="shared" si="10"/>
        <v>0.11289743455497382</v>
      </c>
      <c r="Y34" s="230" t="s">
        <v>33</v>
      </c>
      <c r="Z34" s="231">
        <f>22637.49+943.23+4284.48+178.52+52889.19+2115.57+8106.25+324.25</f>
        <v>91478.98000000001</v>
      </c>
      <c r="AA34" s="235">
        <f>585900+89800</f>
        <v>675700</v>
      </c>
      <c r="AB34" s="233">
        <f t="shared" si="12"/>
        <v>0.1353840165754033</v>
      </c>
    </row>
    <row r="35" spans="1:28" ht="12.75">
      <c r="A35" s="7">
        <v>40434</v>
      </c>
      <c r="B35" s="7">
        <v>40462</v>
      </c>
      <c r="C35" s="3">
        <v>536800</v>
      </c>
      <c r="D35" s="3">
        <f t="shared" si="8"/>
        <v>9022400</v>
      </c>
      <c r="E35" s="3">
        <f>pumpage!AE43</f>
        <v>8584068.965517242</v>
      </c>
      <c r="F35" s="102">
        <f>pumpage!AE42*10^-6</f>
        <v>248.938</v>
      </c>
      <c r="G35" s="3">
        <f t="shared" si="7"/>
        <v>2156.360218206943</v>
      </c>
      <c r="H35" s="103">
        <f>(G35-H2)/H2</f>
        <v>0.35962182736881654</v>
      </c>
      <c r="J35" s="155" t="s">
        <v>34</v>
      </c>
      <c r="K35" s="156">
        <f>18187.27+5845.3-261.09-69.2+30528.96+9202.82+1221.16+368.11</f>
        <v>65023.33</v>
      </c>
      <c r="L35" s="160">
        <f>470400+141800</f>
        <v>612200</v>
      </c>
      <c r="M35" s="158">
        <f t="shared" si="11"/>
        <v>0.106212561254492</v>
      </c>
      <c r="O35" s="180" t="s">
        <v>34</v>
      </c>
      <c r="P35" s="173">
        <f>22336.77+6796.86-1436.1-384.94-435.87-134.23+31437.56+1257.5+8644.68+345.79</f>
        <v>68428.02</v>
      </c>
      <c r="Q35" s="184">
        <f>484400+133200</f>
        <v>617600</v>
      </c>
      <c r="R35" s="182">
        <f t="shared" si="9"/>
        <v>0.11079666450777202</v>
      </c>
      <c r="T35" s="204" t="s">
        <v>34</v>
      </c>
      <c r="U35" s="205">
        <f>22179.93+924.16+6014.13+250.59+35162.82+1406.52+8657.66+346.31</f>
        <v>74942.12000000001</v>
      </c>
      <c r="V35" s="209">
        <f>541800+133400</f>
        <v>675200</v>
      </c>
      <c r="W35" s="207">
        <f t="shared" si="10"/>
        <v>0.11099247630331754</v>
      </c>
      <c r="Y35" s="230" t="s">
        <v>34</v>
      </c>
      <c r="Z35" s="231">
        <f>20920.23+871.68+4162.85+173.45+49476.99+1979.08+7438.25+297.53</f>
        <v>85320.06</v>
      </c>
      <c r="AA35" s="235">
        <f>548100+82400</f>
        <v>630500</v>
      </c>
      <c r="AB35" s="233">
        <f t="shared" si="12"/>
        <v>0.13532126883425852</v>
      </c>
    </row>
    <row r="36" spans="1:28" ht="12.75">
      <c r="A36" s="7">
        <v>40463</v>
      </c>
      <c r="B36" s="7">
        <v>40490</v>
      </c>
      <c r="C36" s="3">
        <v>504300</v>
      </c>
      <c r="D36" s="3">
        <f t="shared" si="8"/>
        <v>8838500</v>
      </c>
      <c r="E36" s="3">
        <f>pumpage!AF43</f>
        <v>7859407.407407408</v>
      </c>
      <c r="F36" s="102">
        <f>pumpage!AF42*10^-6</f>
        <v>220.017</v>
      </c>
      <c r="G36" s="3">
        <f t="shared" si="7"/>
        <v>2292.0956107937113</v>
      </c>
      <c r="H36" s="103">
        <f>(G36-H2)/H2</f>
        <v>0.44520530314862</v>
      </c>
      <c r="J36" s="155" t="s">
        <v>35</v>
      </c>
      <c r="K36" s="156">
        <f>18637.74+5733.05-1201.01-279.48-370.02-77.02+31301.27+8982.16+1252.05+359.29</f>
        <v>64338.030000000006</v>
      </c>
      <c r="L36" s="160">
        <f>482300+138400</f>
        <v>620700</v>
      </c>
      <c r="M36" s="158">
        <f t="shared" si="11"/>
        <v>0.10365398743354279</v>
      </c>
      <c r="O36" s="180" t="s">
        <v>35</v>
      </c>
      <c r="P36" s="173">
        <f>27853.49+6755.01-1822.19-441.92+36889.16+1475.57+8865.34+354.61</f>
        <v>79929.07</v>
      </c>
      <c r="Q36" s="184">
        <f>568400+136600</f>
        <v>705000</v>
      </c>
      <c r="R36" s="182">
        <f t="shared" si="9"/>
        <v>0.11337456737588654</v>
      </c>
      <c r="T36" s="204" t="s">
        <v>35</v>
      </c>
      <c r="U36" s="205">
        <f>20004.78+833.53+5680.74+236.7+31210.41+1248.42+7749.06+309.97</f>
        <v>67273.61</v>
      </c>
      <c r="V36" s="209">
        <f>480900+119400</f>
        <v>600300</v>
      </c>
      <c r="W36" s="207">
        <f t="shared" si="10"/>
        <v>0.11206665000832917</v>
      </c>
      <c r="Y36" s="230" t="s">
        <v>35</v>
      </c>
      <c r="Z36" s="231">
        <f>20980.76+874.2+4259.11+177.46+46759.86+1870.4+7221.6+288.87</f>
        <v>82432.26</v>
      </c>
      <c r="AA36" s="235">
        <f>518000+80000</f>
        <v>598000</v>
      </c>
      <c r="AB36" s="233">
        <f t="shared" si="12"/>
        <v>0.13784658862876253</v>
      </c>
    </row>
    <row r="37" spans="1:28" ht="12.75">
      <c r="A37" s="7">
        <v>40491</v>
      </c>
      <c r="B37" s="7">
        <v>40521</v>
      </c>
      <c r="C37" s="3">
        <v>535400</v>
      </c>
      <c r="D37" s="3">
        <f t="shared" si="8"/>
        <v>8559900</v>
      </c>
      <c r="E37" s="3">
        <f>pumpage!AG43</f>
        <v>7228838.70967742</v>
      </c>
      <c r="F37" s="102">
        <f>pumpage!AG42*10^-6</f>
        <v>224.094</v>
      </c>
      <c r="G37" s="3">
        <f t="shared" si="7"/>
        <v>2389.1759707979686</v>
      </c>
      <c r="H37" s="103">
        <f>(G37-H2)/H2</f>
        <v>0.5064161228234354</v>
      </c>
      <c r="I37" s="16"/>
      <c r="J37" s="155" t="s">
        <v>36</v>
      </c>
      <c r="K37" s="156">
        <f>19090.3+5311.85-1229.29-299.78-347.5+32164.44+1286.58+8242.3+329.69</f>
        <v>64548.59000000001</v>
      </c>
      <c r="L37" s="160">
        <f>495600+127000</f>
        <v>622600</v>
      </c>
      <c r="M37" s="158">
        <f t="shared" si="11"/>
        <v>0.1036758592997109</v>
      </c>
      <c r="O37" s="180" t="s">
        <v>36</v>
      </c>
      <c r="P37" s="173">
        <f>26005.71+7116.4-1645.13-436.45-444.99+31255.84+1250.23+8800.44+352.02</f>
        <v>72254.07</v>
      </c>
      <c r="Q37" s="184">
        <f>481600+135600</f>
        <v>617200</v>
      </c>
      <c r="R37" s="182">
        <f t="shared" si="9"/>
        <v>0.11706751458198317</v>
      </c>
      <c r="T37" s="204" t="s">
        <v>36</v>
      </c>
      <c r="U37" s="205">
        <f>20166.14+840.26+5583.54+232.65+30120.09+1204.81+7697.14+307.89</f>
        <v>66152.52</v>
      </c>
      <c r="V37" s="209">
        <f>464100+118600</f>
        <v>582700</v>
      </c>
      <c r="W37" s="207">
        <f t="shared" si="10"/>
        <v>0.11352757851381501</v>
      </c>
      <c r="Y37" s="230" t="s">
        <v>36</v>
      </c>
      <c r="Z37" s="231">
        <f>20758.91+864.95+4392.21+183.01+45496.08+1819.85+7672.95+306.92</f>
        <v>81494.88</v>
      </c>
      <c r="AA37" s="235">
        <f>504000+85000</f>
        <v>589000</v>
      </c>
      <c r="AB37" s="233">
        <f t="shared" si="12"/>
        <v>0.13836142614601019</v>
      </c>
    </row>
    <row r="38" spans="1:28" ht="12.75">
      <c r="A38" s="7">
        <v>40522</v>
      </c>
      <c r="B38" s="7">
        <v>40553</v>
      </c>
      <c r="C38" s="3">
        <v>561800</v>
      </c>
      <c r="D38" s="3">
        <f t="shared" si="8"/>
        <v>8249000</v>
      </c>
      <c r="E38" s="3">
        <f>pumpage!AH43</f>
        <v>7136125</v>
      </c>
      <c r="F38" s="102">
        <f>pumpage!AH42*10^-6</f>
        <v>228.356</v>
      </c>
      <c r="G38" s="3">
        <f t="shared" si="7"/>
        <v>2460.193732592969</v>
      </c>
      <c r="H38" s="103">
        <f>(G38-H2)/H2</f>
        <v>0.5511940306386941</v>
      </c>
      <c r="J38" s="155" t="s">
        <v>37</v>
      </c>
      <c r="K38" s="156">
        <f>15279.62+4724.08-320.43-160.04+24941.07+997.66+6412.12+256.49</f>
        <v>52130.57000000001</v>
      </c>
      <c r="L38" s="160">
        <f>384300+98800</f>
        <v>483100</v>
      </c>
      <c r="M38" s="158">
        <f t="shared" si="11"/>
        <v>0.10790844545642725</v>
      </c>
      <c r="O38" s="180" t="s">
        <v>37</v>
      </c>
      <c r="P38" s="173">
        <f>20955.75+6297.14-1370.94-396.53-235.84+27712.3+1108.51+7619.26+304.77</f>
        <v>61994.420000000006</v>
      </c>
      <c r="Q38" s="184">
        <f>427000+117400</f>
        <v>544400</v>
      </c>
      <c r="R38" s="182">
        <f aca="true" t="shared" si="13" ref="R38:R43">P38/Q38</f>
        <v>0.11387659808963999</v>
      </c>
      <c r="T38" s="204" t="s">
        <v>37</v>
      </c>
      <c r="U38" s="205">
        <f>19180.86+799.2+5828.4+242.85+29393.21+1175.73+8073.56+322.95</f>
        <v>65016.759999999995</v>
      </c>
      <c r="V38" s="209">
        <f>452900+124400</f>
        <v>577300</v>
      </c>
      <c r="W38" s="207">
        <f t="shared" si="10"/>
        <v>0.11262213753680927</v>
      </c>
      <c r="Y38" s="230" t="s">
        <v>37</v>
      </c>
      <c r="Z38" s="231">
        <f>17058.66+710.78+3524.96+146.87+35449.03+1417.96+5000.96+200.04</f>
        <v>63509.259999999995</v>
      </c>
      <c r="AA38" s="235">
        <f>392700+55400</f>
        <v>448100</v>
      </c>
      <c r="AB38" s="233">
        <f t="shared" si="12"/>
        <v>0.14173010488730192</v>
      </c>
    </row>
    <row r="39" spans="1:28" ht="12.75">
      <c r="A39" s="7">
        <v>40554</v>
      </c>
      <c r="B39" s="7">
        <v>40582</v>
      </c>
      <c r="C39" s="3">
        <v>498300</v>
      </c>
      <c r="D39" s="3">
        <f t="shared" si="8"/>
        <v>7981000</v>
      </c>
      <c r="E39" s="3">
        <f>pumpage!AI43</f>
        <v>7111896.551724138</v>
      </c>
      <c r="F39" s="102">
        <f>pumpage!AI42*10^-6</f>
        <v>206.245</v>
      </c>
      <c r="G39" s="3">
        <f t="shared" si="7"/>
        <v>2416.0585711168756</v>
      </c>
      <c r="H39" s="103">
        <f>(G39-H2)/H2</f>
        <v>0.5233660599728093</v>
      </c>
      <c r="J39" s="155" t="s">
        <v>38</v>
      </c>
      <c r="K39" s="156">
        <f>16385.2+4832.46-1071.93-316.14+25940.35+1037.64+7113.04+284.53</f>
        <v>54205.15</v>
      </c>
      <c r="L39" s="160">
        <f>399700+109600</f>
        <v>509300</v>
      </c>
      <c r="M39" s="158">
        <f t="shared" si="11"/>
        <v>0.10643068918122914</v>
      </c>
      <c r="O39" s="180" t="s">
        <v>38</v>
      </c>
      <c r="P39" s="173">
        <f>21158.46+6197.44-1340.16-673.13-384.86-314.56+26758.27+1070.33+7255.82+290.24</f>
        <v>60017.84999999999</v>
      </c>
      <c r="Q39" s="184">
        <f>412300+111800</f>
        <v>524100</v>
      </c>
      <c r="R39" s="182">
        <f t="shared" si="13"/>
        <v>0.11451602747567256</v>
      </c>
      <c r="T39" s="204" t="s">
        <v>38</v>
      </c>
      <c r="U39" s="205">
        <f>17135.26+713.97+5401.6+225.07+27303.43+1092.14+7307.74+292.31</f>
        <v>59471.52</v>
      </c>
      <c r="V39" s="209">
        <f>420700+112600</f>
        <v>533300</v>
      </c>
      <c r="W39" s="207">
        <f>U39/V39</f>
        <v>0.11151606975435964</v>
      </c>
      <c r="Y39" s="230" t="s">
        <v>38</v>
      </c>
      <c r="Z39" s="231">
        <f>17189.46+716.23+3511.65+146.32+36080.92+1443.24+4928.74+197.15</f>
        <v>64213.71</v>
      </c>
      <c r="AA39" s="235">
        <f>399700+54600</f>
        <v>454300</v>
      </c>
      <c r="AB39" s="233">
        <f t="shared" si="12"/>
        <v>0.1413464891041162</v>
      </c>
    </row>
    <row r="40" spans="1:28" ht="12.75">
      <c r="A40" s="7">
        <v>40583</v>
      </c>
      <c r="B40" s="7">
        <v>40611</v>
      </c>
      <c r="C40" s="3">
        <v>490100</v>
      </c>
      <c r="D40" s="79">
        <f t="shared" si="8"/>
        <v>7686300</v>
      </c>
      <c r="E40" s="3">
        <f>pumpage!AJ43</f>
        <v>7108931.0344827585</v>
      </c>
      <c r="F40" s="4">
        <f>pumpage!AJ42*10^-6</f>
        <v>206.159</v>
      </c>
      <c r="G40" s="3">
        <f t="shared" si="7"/>
        <v>2377.2913139858074</v>
      </c>
      <c r="H40" s="103">
        <f>(G40-H2)/H2</f>
        <v>0.49892264437944983</v>
      </c>
      <c r="J40" s="155" t="s">
        <v>39</v>
      </c>
      <c r="K40" s="156">
        <f>13782.88+5292.43-901.68-346.23+21806.4+872.27+7826.94+313.08</f>
        <v>48646.090000000004</v>
      </c>
      <c r="L40" s="160">
        <f>336000+120600</f>
        <v>456600</v>
      </c>
      <c r="M40" s="158">
        <f t="shared" si="11"/>
        <v>0.1065398379325449</v>
      </c>
      <c r="O40" s="180" t="s">
        <v>39</v>
      </c>
      <c r="P40" s="173">
        <f>22416.79+6621.61-1436.25-462.73-433.19+30210.95+1208.44+8748.52+349.95</f>
        <v>67224.09000000001</v>
      </c>
      <c r="Q40" s="184">
        <f>465500+134800</f>
        <v>600300</v>
      </c>
      <c r="R40" s="182">
        <f t="shared" si="13"/>
        <v>0.1119841579210395</v>
      </c>
      <c r="T40" s="204" t="s">
        <v>39</v>
      </c>
      <c r="U40" s="205">
        <f>15957.03+664.88+4455.07+185.63+24168.76+966.76+6191.46+247.66</f>
        <v>52837.25</v>
      </c>
      <c r="V40" s="209">
        <f>372400+95400</f>
        <v>467800</v>
      </c>
      <c r="W40" s="207">
        <f>U40/V40</f>
        <v>0.1129483753740915</v>
      </c>
      <c r="Y40" s="230" t="s">
        <v>39</v>
      </c>
      <c r="Z40" s="231">
        <f>16459.84+685.83+3589.22+149.55+33363.8+1334.56+5145.39+205.82</f>
        <v>60934.01</v>
      </c>
      <c r="AA40" s="235">
        <f>369600+57000</f>
        <v>426600</v>
      </c>
      <c r="AB40" s="233">
        <f t="shared" si="12"/>
        <v>0.14283640412564463</v>
      </c>
    </row>
    <row r="41" spans="1:28" ht="12.75">
      <c r="A41" s="7">
        <v>40612</v>
      </c>
      <c r="B41" s="7">
        <v>40643</v>
      </c>
      <c r="C41" s="3">
        <v>523900</v>
      </c>
      <c r="D41" s="3">
        <f t="shared" si="8"/>
        <v>7376600</v>
      </c>
      <c r="E41" s="3">
        <f>pumpage!AK43</f>
        <v>6869375</v>
      </c>
      <c r="F41" s="9">
        <f>pumpage!AK42*10^-6</f>
        <v>219.82</v>
      </c>
      <c r="G41" s="3">
        <f t="shared" si="7"/>
        <v>2383.3136202347378</v>
      </c>
      <c r="H41" s="103">
        <f>(G41-H2)/H2</f>
        <v>0.502719810992899</v>
      </c>
      <c r="J41" s="155" t="s">
        <v>40</v>
      </c>
      <c r="K41" s="156">
        <f>16487.4+5350.51-1008.21-1076.21-339.03-168.19+24986.5+999.46+7359.66+294.39</f>
        <v>52886.28</v>
      </c>
      <c r="L41" s="160">
        <f>385000+113400</f>
        <v>498400</v>
      </c>
      <c r="M41" s="158">
        <f t="shared" si="11"/>
        <v>0.10611211878009631</v>
      </c>
      <c r="O41" s="180" t="s">
        <v>40</v>
      </c>
      <c r="P41" s="173">
        <f>22453.23+7305.96-1435.96-503.62-449.71-431.85+30120.09+1204.81+9280.7+371.23</f>
        <v>67914.87999999999</v>
      </c>
      <c r="Q41" s="184">
        <f>464100+143000</f>
        <v>607100</v>
      </c>
      <c r="R41" s="182">
        <f t="shared" si="13"/>
        <v>0.11186769889639267</v>
      </c>
      <c r="T41" s="204" t="s">
        <v>40</v>
      </c>
      <c r="U41" s="205">
        <f>16743.4+697.64+4118.15+171.59+36649.62+1465.99+5380.09+215.2</f>
        <v>65441.68000000001</v>
      </c>
      <c r="V41" s="209">
        <f>406000+59600</f>
        <v>465600</v>
      </c>
      <c r="W41" s="207">
        <f>U41/V41</f>
        <v>0.14055343642611687</v>
      </c>
      <c r="Y41" s="230" t="s">
        <v>40</v>
      </c>
      <c r="Z41" s="236">
        <f>17464.19+727.67+2931.48+122.15+36144.11+1445.77+4441.29+177.66</f>
        <v>63454.32</v>
      </c>
      <c r="AA41" s="235">
        <f>400400+49200</f>
        <v>449600</v>
      </c>
      <c r="AB41" s="233">
        <f t="shared" si="12"/>
        <v>0.14113505338078292</v>
      </c>
    </row>
    <row r="42" spans="1:28" ht="12.75">
      <c r="A42" s="7">
        <v>40644</v>
      </c>
      <c r="B42" s="7">
        <v>40673</v>
      </c>
      <c r="C42" s="3">
        <v>570100</v>
      </c>
      <c r="D42" s="3">
        <f t="shared" si="8"/>
        <v>7185100</v>
      </c>
      <c r="E42" s="3">
        <f>pumpage!AL43</f>
        <v>7966433.333333333</v>
      </c>
      <c r="F42" s="9">
        <f>pumpage!AL42*10^-6</f>
        <v>238.993</v>
      </c>
      <c r="G42" s="3">
        <f t="shared" si="7"/>
        <v>2385.4255145548195</v>
      </c>
      <c r="H42" s="103">
        <f>(G42-H2)/H2</f>
        <v>0.5040513963145142</v>
      </c>
      <c r="J42" s="155" t="s">
        <v>41</v>
      </c>
      <c r="K42" s="156">
        <f>18124.54+4997.8-1163.46-340.16-320.64-96.53+28666.33+1146.65+6425.1+257</f>
        <v>57696.630000000005</v>
      </c>
      <c r="L42" s="160">
        <f>441700+99000</f>
        <v>540700</v>
      </c>
      <c r="M42" s="158">
        <f t="shared" si="11"/>
        <v>0.10670728685037914</v>
      </c>
      <c r="O42" s="180" t="s">
        <v>41</v>
      </c>
      <c r="P42" s="173">
        <f>20724.92+5574.95-1351.58-65.08-353.22-174.2+26985.42+1079.42+6892.38+275.7</f>
        <v>59588.709999999985</v>
      </c>
      <c r="Q42" s="184">
        <f>415800+106200</f>
        <v>522000</v>
      </c>
      <c r="R42" s="182">
        <f t="shared" si="13"/>
        <v>0.11415461685823752</v>
      </c>
      <c r="T42" s="204" t="s">
        <v>41</v>
      </c>
      <c r="U42" s="205">
        <f>16653.48+693.9+3653.27+152.22+35196.27+1407.85+5723.12+228.93</f>
        <v>63709.04</v>
      </c>
      <c r="V42" s="209">
        <f>389900+63400</f>
        <v>453300</v>
      </c>
      <c r="W42" s="207">
        <f>U42/V42</f>
        <v>0.14054498124862122</v>
      </c>
      <c r="Y42" s="230" t="s">
        <v>41</v>
      </c>
      <c r="Z42" s="236">
        <f>17716.61+738.19+3091.75+128.82+32858.28+1314.33+4802.36+192.1</f>
        <v>60842.439999999995</v>
      </c>
      <c r="AA42" s="235">
        <f>364000+53200</f>
        <v>417200</v>
      </c>
      <c r="AB42" s="233">
        <f t="shared" si="12"/>
        <v>0.1458351869606903</v>
      </c>
    </row>
    <row r="43" spans="1:28" ht="12.75">
      <c r="A43" s="8">
        <v>40674</v>
      </c>
      <c r="B43" s="8">
        <v>40703</v>
      </c>
      <c r="C43" s="3">
        <v>615900</v>
      </c>
      <c r="D43" s="3">
        <f t="shared" si="8"/>
        <v>7051400</v>
      </c>
      <c r="E43" s="3">
        <f>pumpage!AM43</f>
        <v>9502366.666666666</v>
      </c>
      <c r="F43" s="9">
        <f>pumpage!AM42*10^-6</f>
        <v>285.07099999999997</v>
      </c>
      <c r="G43" s="3">
        <f t="shared" si="7"/>
        <v>2160.514398167474</v>
      </c>
      <c r="H43" s="103">
        <f>(G43-H2)/H2</f>
        <v>0.3622411085545234</v>
      </c>
      <c r="J43" s="155" t="s">
        <v>42</v>
      </c>
      <c r="K43" s="156">
        <f>15047.84+5915.26-978.45-91.6-386.98+22760.43+910.43+8579.78+343.2</f>
        <v>52099.909999999996</v>
      </c>
      <c r="L43" s="160">
        <f>350700+132200</f>
        <v>482900</v>
      </c>
      <c r="M43" s="158">
        <f t="shared" si="11"/>
        <v>0.10788964588941809</v>
      </c>
      <c r="O43" s="180" t="s">
        <v>42</v>
      </c>
      <c r="P43" s="173">
        <f>20367.97+6685.47-1332.48-430.79-100.49+26303.97+1052.16+8540.84+341.64</f>
        <v>61428.29000000001</v>
      </c>
      <c r="Q43" s="184">
        <f>405300+131600</f>
        <v>536900</v>
      </c>
      <c r="R43" s="182">
        <f t="shared" si="13"/>
        <v>0.11441290743155151</v>
      </c>
      <c r="T43" s="204" t="s">
        <v>42</v>
      </c>
      <c r="U43" s="205">
        <f>17187.15+716.13+3692.38+153.85+36839.19+1473.57+5867.55+234.7</f>
        <v>66164.52</v>
      </c>
      <c r="V43" s="209">
        <f>408100+65000</f>
        <v>473100</v>
      </c>
      <c r="W43" s="207">
        <f>U43/V43</f>
        <v>0.13985313887127457</v>
      </c>
      <c r="Y43" s="230" t="s">
        <v>42</v>
      </c>
      <c r="Z43" s="236">
        <f>16466.48+686.1+3312.34+138.01+31910.45+1276.42+5506.47+220.26</f>
        <v>59516.53</v>
      </c>
      <c r="AA43" s="235">
        <f>353500+61000</f>
        <v>414500</v>
      </c>
      <c r="AB43" s="233">
        <f t="shared" si="12"/>
        <v>0.14358632086851628</v>
      </c>
    </row>
    <row r="44" spans="1:28" ht="12.75">
      <c r="A44" s="8">
        <v>40704</v>
      </c>
      <c r="B44" s="8">
        <v>40735</v>
      </c>
      <c r="C44" s="3">
        <v>618700</v>
      </c>
      <c r="D44" s="3">
        <f t="shared" si="8"/>
        <v>6828200</v>
      </c>
      <c r="E44" s="3">
        <f>pumpage!AN43</f>
        <v>9029218.75</v>
      </c>
      <c r="F44" s="9">
        <f>pumpage!AN42*10^-6</f>
        <v>288.935</v>
      </c>
      <c r="G44" s="3">
        <f t="shared" si="7"/>
        <v>2141.3120598058385</v>
      </c>
      <c r="H44" s="103">
        <f>(G44-H2)/H2</f>
        <v>0.3501337073176788</v>
      </c>
      <c r="J44" s="152"/>
      <c r="K44" s="156"/>
      <c r="L44" s="160"/>
      <c r="M44" s="154"/>
      <c r="O44" s="177"/>
      <c r="P44" s="173"/>
      <c r="Q44" s="184"/>
      <c r="R44" s="179"/>
      <c r="T44" s="201"/>
      <c r="U44" s="205"/>
      <c r="V44" s="209"/>
      <c r="W44" s="203"/>
      <c r="Y44" s="227"/>
      <c r="Z44" s="231"/>
      <c r="AA44" s="235"/>
      <c r="AB44" s="229"/>
    </row>
    <row r="45" spans="1:28" ht="12.75">
      <c r="A45" s="8">
        <v>40736</v>
      </c>
      <c r="B45" s="8">
        <v>40765</v>
      </c>
      <c r="C45" s="3">
        <v>678400</v>
      </c>
      <c r="D45" s="3">
        <f t="shared" si="8"/>
        <v>6821900</v>
      </c>
      <c r="E45" s="3">
        <f>pumpage!AO43</f>
        <v>10530533.333333334</v>
      </c>
      <c r="F45" s="9">
        <f>pumpage!AO42*10^-6</f>
        <v>315.916</v>
      </c>
      <c r="G45" s="3">
        <f t="shared" si="7"/>
        <v>2147.4062725534636</v>
      </c>
      <c r="H45" s="103">
        <f>(G45-H2)/H2</f>
        <v>0.35397621220268827</v>
      </c>
      <c r="J45" s="161" t="s">
        <v>43</v>
      </c>
      <c r="K45" s="162"/>
      <c r="L45" s="163"/>
      <c r="M45" s="164">
        <f>AVERAGE(M32:M43)</f>
        <v>0.10576307649637469</v>
      </c>
      <c r="O45" s="185" t="s">
        <v>43</v>
      </c>
      <c r="P45" s="186"/>
      <c r="Q45" s="187"/>
      <c r="R45" s="188">
        <f>AVERAGE(R32:R43)</f>
        <v>0.11282502639424145</v>
      </c>
      <c r="T45" s="210" t="s">
        <v>43</v>
      </c>
      <c r="U45" s="211"/>
      <c r="V45" s="212"/>
      <c r="W45" s="213">
        <f>AVERAGE(W32:W43)</f>
        <v>0.11965378017837663</v>
      </c>
      <c r="Y45" s="237" t="s">
        <v>43</v>
      </c>
      <c r="Z45" s="238"/>
      <c r="AA45" s="239"/>
      <c r="AB45" s="240">
        <f>AVERAGE(AB32:AB43)</f>
        <v>0.13998735924133912</v>
      </c>
    </row>
    <row r="46" spans="1:22" ht="12.75">
      <c r="A46" s="8">
        <v>40766</v>
      </c>
      <c r="B46" s="8">
        <v>40797</v>
      </c>
      <c r="C46" s="3">
        <v>575200</v>
      </c>
      <c r="D46" s="3">
        <f t="shared" si="8"/>
        <v>6708900</v>
      </c>
      <c r="E46" s="3">
        <f>pumpage!AP43</f>
        <v>8077312.5</v>
      </c>
      <c r="F46" s="9">
        <f>pumpage!AP42*10^-6</f>
        <v>258.474</v>
      </c>
      <c r="G46" s="3">
        <f t="shared" si="7"/>
        <v>2225.368895904424</v>
      </c>
      <c r="H46" s="103">
        <f>(G46-H2)/H2</f>
        <v>0.4031329734580226</v>
      </c>
      <c r="K46" s="27"/>
      <c r="L46" s="16"/>
      <c r="P46" s="27"/>
      <c r="Q46" s="16"/>
      <c r="U46" s="27"/>
      <c r="V46" s="16"/>
    </row>
    <row r="47" spans="1:22" ht="12.75">
      <c r="A47" s="8">
        <v>40798</v>
      </c>
      <c r="B47" s="8">
        <v>40826</v>
      </c>
      <c r="C47" s="3">
        <v>542500</v>
      </c>
      <c r="D47" s="3">
        <f t="shared" si="8"/>
        <v>6714600</v>
      </c>
      <c r="E47" s="3">
        <f>pumpage!AQ43</f>
        <v>7052482.75862069</v>
      </c>
      <c r="F47" s="9">
        <f>pumpage!AQ42*10^-6</f>
        <v>204.522</v>
      </c>
      <c r="G47" s="3">
        <f t="shared" si="7"/>
        <v>2652.5263785802995</v>
      </c>
      <c r="H47" s="103">
        <f>(G47-H2)/H2</f>
        <v>0.6724630381969101</v>
      </c>
      <c r="K47" s="27"/>
      <c r="L47" s="16"/>
      <c r="P47" s="27"/>
      <c r="Q47" s="16"/>
      <c r="U47" s="27"/>
      <c r="V47" s="16"/>
    </row>
    <row r="48" spans="1:22" ht="12.75">
      <c r="A48" s="7">
        <v>40827</v>
      </c>
      <c r="B48" s="7">
        <v>40855</v>
      </c>
      <c r="C48" s="3">
        <v>536900</v>
      </c>
      <c r="D48" s="3">
        <f t="shared" si="8"/>
        <v>6747200</v>
      </c>
      <c r="E48" s="3">
        <f>pumpage!AR43</f>
        <v>6736241.379310345</v>
      </c>
      <c r="F48" s="9">
        <f>pumpage!AR42*10^-6</f>
        <v>195.351</v>
      </c>
      <c r="G48" s="3">
        <f t="shared" si="7"/>
        <v>2748.3862381047447</v>
      </c>
      <c r="H48" s="103">
        <f>(G48-H2)/H2</f>
        <v>0.7329043115414532</v>
      </c>
      <c r="K48" s="38"/>
      <c r="L48" s="16"/>
      <c r="P48" s="38"/>
      <c r="Q48" s="16"/>
      <c r="U48" s="38"/>
      <c r="V48" s="16"/>
    </row>
    <row r="49" spans="1:26" ht="12.75">
      <c r="A49" s="7">
        <v>40856</v>
      </c>
      <c r="B49" s="7">
        <v>40888</v>
      </c>
      <c r="C49" s="3">
        <v>598100</v>
      </c>
      <c r="D49" s="3">
        <f t="shared" si="8"/>
        <v>6809900</v>
      </c>
      <c r="E49" s="3">
        <f>pumpage!AS43</f>
        <v>6382393.939393939</v>
      </c>
      <c r="F49" s="9">
        <f>pumpage!AS42*10^-6</f>
        <v>210.619</v>
      </c>
      <c r="G49" s="3">
        <f t="shared" si="7"/>
        <v>2839.72481115189</v>
      </c>
      <c r="H49" s="103">
        <f>(G49-H2)/H2</f>
        <v>0.7904948367918602</v>
      </c>
      <c r="J49" s="165" t="s">
        <v>44</v>
      </c>
      <c r="K49" s="166" t="s">
        <v>46</v>
      </c>
      <c r="L49" s="39"/>
      <c r="O49" s="189" t="s">
        <v>44</v>
      </c>
      <c r="P49" s="190" t="s">
        <v>46</v>
      </c>
      <c r="Q49" s="39"/>
      <c r="T49" s="214" t="s">
        <v>44</v>
      </c>
      <c r="U49" s="215" t="s">
        <v>46</v>
      </c>
      <c r="V49" s="39"/>
      <c r="Y49" s="241" t="s">
        <v>44</v>
      </c>
      <c r="Z49" s="242" t="s">
        <v>46</v>
      </c>
    </row>
    <row r="50" spans="1:26" ht="12.75">
      <c r="A50" s="7">
        <v>40889</v>
      </c>
      <c r="B50" s="7">
        <v>40918</v>
      </c>
      <c r="C50" s="3">
        <v>539700</v>
      </c>
      <c r="D50" s="3">
        <f t="shared" si="8"/>
        <v>6787800</v>
      </c>
      <c r="E50" s="3">
        <f>pumpage!AT43</f>
        <v>6217466.666666667</v>
      </c>
      <c r="F50" s="9">
        <f>pumpage!AT42*10^-6</f>
        <v>186.524</v>
      </c>
      <c r="G50" s="3">
        <f t="shared" si="7"/>
        <v>2893.4614312367307</v>
      </c>
      <c r="H50" s="103">
        <f>(G50-H2)/H2</f>
        <v>0.824376690565404</v>
      </c>
      <c r="J50" s="167" t="s">
        <v>45</v>
      </c>
      <c r="K50" s="168"/>
      <c r="L50" s="15"/>
      <c r="O50" s="191" t="s">
        <v>45</v>
      </c>
      <c r="P50" s="192"/>
      <c r="Q50" s="15"/>
      <c r="T50" s="216" t="s">
        <v>45</v>
      </c>
      <c r="U50" s="217"/>
      <c r="V50" s="15"/>
      <c r="Y50" s="243" t="s">
        <v>45</v>
      </c>
      <c r="Z50" s="244"/>
    </row>
    <row r="51" spans="1:26" ht="12.75">
      <c r="A51" s="7">
        <v>40919</v>
      </c>
      <c r="B51" s="7">
        <v>40947</v>
      </c>
      <c r="C51" s="3">
        <v>513500</v>
      </c>
      <c r="D51" s="3">
        <f t="shared" si="8"/>
        <v>6803000</v>
      </c>
      <c r="E51" s="3">
        <f>pumpage!AU43</f>
        <v>6209034.482758621</v>
      </c>
      <c r="F51" s="9">
        <f>pumpage!AU42*10^-6</f>
        <v>180.06199999999998</v>
      </c>
      <c r="G51" s="3">
        <f t="shared" si="7"/>
        <v>2851.7954926636385</v>
      </c>
      <c r="H51" s="103">
        <f>(G51-H2)/H2</f>
        <v>0.7981056069758125</v>
      </c>
      <c r="J51" s="169">
        <v>0</v>
      </c>
      <c r="K51" s="170">
        <v>0</v>
      </c>
      <c r="O51" s="193">
        <v>0</v>
      </c>
      <c r="P51" s="194">
        <v>0</v>
      </c>
      <c r="T51" s="218">
        <v>0</v>
      </c>
      <c r="U51" s="219">
        <v>0</v>
      </c>
      <c r="Y51" s="245">
        <v>0</v>
      </c>
      <c r="Z51" s="246">
        <f>Y51*AB45</f>
        <v>0</v>
      </c>
    </row>
    <row r="52" spans="1:8" ht="12.75">
      <c r="A52" s="7">
        <v>40948</v>
      </c>
      <c r="B52" s="7">
        <v>40979</v>
      </c>
      <c r="C52" s="3">
        <v>545800</v>
      </c>
      <c r="D52" s="146">
        <f t="shared" si="8"/>
        <v>6858700</v>
      </c>
      <c r="E52" s="3">
        <f>pumpage!AV43</f>
        <v>5814406.25</v>
      </c>
      <c r="F52" s="9">
        <f>pumpage!AV42*10^-6</f>
        <v>186.06099999999998</v>
      </c>
      <c r="G52" s="3">
        <f t="shared" si="7"/>
        <v>2933.4465578493077</v>
      </c>
      <c r="H52" s="103">
        <f>(G52-H2)/H2</f>
        <v>0.8495879935998157</v>
      </c>
    </row>
    <row r="53" spans="1:8" ht="12.75">
      <c r="A53" s="7">
        <v>40980</v>
      </c>
      <c r="B53" s="7">
        <v>41009</v>
      </c>
      <c r="C53" s="3">
        <v>470500</v>
      </c>
      <c r="D53" s="3">
        <f t="shared" si="8"/>
        <v>6805300</v>
      </c>
      <c r="E53" s="3">
        <f>pumpage!AW43</f>
        <v>5927533.333333333</v>
      </c>
      <c r="F53" s="9">
        <f>pumpage!AW42*10^-6</f>
        <v>177.826</v>
      </c>
      <c r="G53" s="3">
        <f t="shared" si="7"/>
        <v>2645.8448145940415</v>
      </c>
      <c r="H53" s="103">
        <f>(G53-H2)/H2</f>
        <v>0.6682501983568988</v>
      </c>
    </row>
    <row r="54" spans="1:8" ht="12.75">
      <c r="A54" s="7">
        <v>41010</v>
      </c>
      <c r="B54" s="7">
        <v>41038</v>
      </c>
      <c r="C54" s="3">
        <v>487300</v>
      </c>
      <c r="D54" s="3">
        <f t="shared" si="8"/>
        <v>6722500</v>
      </c>
      <c r="E54" s="3">
        <f>pumpage!AX43</f>
        <v>6524931.0344827585</v>
      </c>
      <c r="F54" s="9">
        <f>pumpage!AX42*10^-6</f>
        <v>189.22299999999998</v>
      </c>
      <c r="G54" s="3">
        <f t="shared" si="7"/>
        <v>2575.2683341877046</v>
      </c>
      <c r="H54" s="103">
        <f>(G54-H2)/H2</f>
        <v>0.6237505259695489</v>
      </c>
    </row>
    <row r="55" spans="1:28" ht="12.75">
      <c r="A55" s="7">
        <v>41039</v>
      </c>
      <c r="B55" s="7">
        <v>41071</v>
      </c>
      <c r="C55" s="3">
        <v>574500</v>
      </c>
      <c r="D55" s="3">
        <f t="shared" si="8"/>
        <v>6681100</v>
      </c>
      <c r="E55" s="3">
        <f>pumpage!AY43</f>
        <v>7186575.757575758</v>
      </c>
      <c r="F55" s="9">
        <f>pumpage!AY42*10^-6</f>
        <v>237.15699999999998</v>
      </c>
      <c r="G55" s="3">
        <f t="shared" si="7"/>
        <v>2422.4458902752185</v>
      </c>
      <c r="H55" s="103">
        <f>(G55-H2)/H2</f>
        <v>0.5273933734396081</v>
      </c>
      <c r="J55" s="249" t="s">
        <v>140</v>
      </c>
      <c r="K55" s="250" t="s">
        <v>28</v>
      </c>
      <c r="L55" s="250" t="s">
        <v>29</v>
      </c>
      <c r="M55" s="251" t="s">
        <v>30</v>
      </c>
      <c r="O55" s="277" t="s">
        <v>156</v>
      </c>
      <c r="P55" s="122" t="s">
        <v>28</v>
      </c>
      <c r="Q55" s="122" t="s">
        <v>29</v>
      </c>
      <c r="R55" s="41" t="s">
        <v>30</v>
      </c>
      <c r="T55" s="280" t="s">
        <v>157</v>
      </c>
      <c r="U55" s="121" t="s">
        <v>28</v>
      </c>
      <c r="V55" s="121" t="s">
        <v>29</v>
      </c>
      <c r="W55" s="55" t="s">
        <v>30</v>
      </c>
      <c r="Y55" s="284" t="s">
        <v>168</v>
      </c>
      <c r="Z55" s="285" t="s">
        <v>28</v>
      </c>
      <c r="AA55" s="285" t="s">
        <v>29</v>
      </c>
      <c r="AB55" s="286" t="s">
        <v>30</v>
      </c>
    </row>
    <row r="56" spans="1:28" ht="12.75">
      <c r="A56" s="7">
        <v>41072</v>
      </c>
      <c r="B56" s="7">
        <v>41101</v>
      </c>
      <c r="C56" s="3">
        <v>612200</v>
      </c>
      <c r="D56" s="3">
        <f t="shared" si="8"/>
        <v>6674600</v>
      </c>
      <c r="E56" s="3">
        <f>pumpage!AZ43</f>
        <v>8484866.666666666</v>
      </c>
      <c r="F56" s="9">
        <f>pumpage!AZ42*10^-6</f>
        <v>254.546</v>
      </c>
      <c r="G56" s="3">
        <f t="shared" si="7"/>
        <v>2405.0662748579825</v>
      </c>
      <c r="H56" s="103">
        <f>(G56-H2)/H2</f>
        <v>0.5164352300491694</v>
      </c>
      <c r="J56" s="252"/>
      <c r="K56" s="253"/>
      <c r="L56" s="253"/>
      <c r="M56" s="254"/>
      <c r="O56" s="42"/>
      <c r="P56" s="43"/>
      <c r="Q56" s="43"/>
      <c r="R56" s="44"/>
      <c r="T56" s="56"/>
      <c r="U56" s="57"/>
      <c r="V56" s="57"/>
      <c r="W56" s="58"/>
      <c r="Y56" s="287"/>
      <c r="Z56" s="288"/>
      <c r="AA56" s="288"/>
      <c r="AB56" s="289"/>
    </row>
    <row r="57" spans="1:28" ht="12.75">
      <c r="A57" s="7">
        <v>41102</v>
      </c>
      <c r="B57" s="7">
        <v>41130</v>
      </c>
      <c r="C57" s="3">
        <v>620700</v>
      </c>
      <c r="D57" s="3">
        <f t="shared" si="8"/>
        <v>6616900</v>
      </c>
      <c r="E57" s="3">
        <f>pumpage!BA43</f>
        <v>8965379.310344828</v>
      </c>
      <c r="F57" s="9">
        <f>pumpage!BA42*10^-6</f>
        <v>259.996</v>
      </c>
      <c r="G57" s="3">
        <f t="shared" si="7"/>
        <v>2387.344420683395</v>
      </c>
      <c r="H57" s="103">
        <f>(G57-H2)/H2</f>
        <v>0.5052612992959616</v>
      </c>
      <c r="J57" s="255" t="s">
        <v>31</v>
      </c>
      <c r="K57" s="256">
        <f>18800.57+783.36+3163.4+131.81+37218.32+1488.74+4820.42+192.82</f>
        <v>66599.44000000002</v>
      </c>
      <c r="L57" s="257">
        <f>412300+53400</f>
        <v>465700</v>
      </c>
      <c r="M57" s="258">
        <f>K57/L57</f>
        <v>0.14300931930427319</v>
      </c>
      <c r="O57" s="45" t="s">
        <v>31</v>
      </c>
      <c r="P57" s="46">
        <f>22123.16+4298.23+35338.4+6535.39</f>
        <v>68295.18000000001</v>
      </c>
      <c r="Q57" s="34">
        <f>374500+69000</f>
        <v>443500</v>
      </c>
      <c r="R57" s="47">
        <f>P57/Q57</f>
        <v>0.15399138669673057</v>
      </c>
      <c r="T57" s="59" t="s">
        <v>31</v>
      </c>
      <c r="U57" s="60">
        <f>21967.29+4199.52+27318.72+3970.21</f>
        <v>57455.74</v>
      </c>
      <c r="V57" s="61">
        <f>366100+53000</f>
        <v>419100</v>
      </c>
      <c r="W57" s="62">
        <f>U57/V57</f>
        <v>0.13709315199236458</v>
      </c>
      <c r="Y57" s="290" t="s">
        <v>31</v>
      </c>
      <c r="Z57" s="291">
        <f>23089.72+4749.94+26965.87+4186.28</f>
        <v>58991.81</v>
      </c>
      <c r="AA57" s="292">
        <f>363300+56400</f>
        <v>419700</v>
      </c>
      <c r="AB57" s="293">
        <f>Z57/AA57</f>
        <v>0.14055708839647366</v>
      </c>
    </row>
    <row r="58" spans="1:28" ht="12.75">
      <c r="A58" s="7">
        <v>41131</v>
      </c>
      <c r="B58" s="7">
        <v>41163</v>
      </c>
      <c r="C58" s="3">
        <v>622600</v>
      </c>
      <c r="D58" s="3">
        <f t="shared" si="8"/>
        <v>6664300</v>
      </c>
      <c r="E58" s="3">
        <f>pumpage!BB43</f>
        <v>8106090.909090909</v>
      </c>
      <c r="F58" s="9">
        <f>pumpage!BB42*10^-6</f>
        <v>267.501</v>
      </c>
      <c r="G58" s="3">
        <f t="shared" si="7"/>
        <v>2327.46793469931</v>
      </c>
      <c r="H58" s="103">
        <f>(G58-H2)/H2</f>
        <v>0.46750815554811465</v>
      </c>
      <c r="J58" s="255" t="s">
        <v>32</v>
      </c>
      <c r="K58" s="256">
        <f>19506.38+812.77+3405.99+141.92+36017.73+1440.71+5813.39+232.54</f>
        <v>67371.43</v>
      </c>
      <c r="L58" s="259">
        <f>399000+64400</f>
        <v>463400</v>
      </c>
      <c r="M58" s="258">
        <f aca="true" t="shared" si="14" ref="M58:M68">K58/L58</f>
        <v>0.14538504531722052</v>
      </c>
      <c r="O58" s="45" t="s">
        <v>32</v>
      </c>
      <c r="P58" s="46">
        <f>25937.7+4361.38+37392.74+6106.4</f>
        <v>73798.22</v>
      </c>
      <c r="Q58" s="35">
        <f>398300+64000</f>
        <v>462300</v>
      </c>
      <c r="R58" s="47">
        <f aca="true" t="shared" si="15" ref="R58:R68">P58/Q58</f>
        <v>0.1596327492969933</v>
      </c>
      <c r="T58" s="59" t="s">
        <v>32</v>
      </c>
      <c r="U58" s="60">
        <f>22052.76+4393.67+28206.92+4654.07</f>
        <v>59307.42</v>
      </c>
      <c r="V58" s="63">
        <f>379400+62600</f>
        <v>442000</v>
      </c>
      <c r="W58" s="62">
        <f aca="true" t="shared" si="16" ref="W58:W68">U58/V58</f>
        <v>0.13417968325791854</v>
      </c>
      <c r="Y58" s="290" t="s">
        <v>32</v>
      </c>
      <c r="Z58" s="291">
        <f>26424.45+4491.9+31849.86+3889.38</f>
        <v>66655.59</v>
      </c>
      <c r="AA58" s="294">
        <f>429100+52400</f>
        <v>481500</v>
      </c>
      <c r="AB58" s="293">
        <f aca="true" t="shared" si="17" ref="AB58:AB68">Z58/AA58</f>
        <v>0.13843320872274142</v>
      </c>
    </row>
    <row r="59" spans="1:28" ht="12.75">
      <c r="A59" s="7">
        <v>41164</v>
      </c>
      <c r="B59" s="7">
        <v>41192</v>
      </c>
      <c r="C59" s="3">
        <v>483100</v>
      </c>
      <c r="D59" s="3">
        <f t="shared" si="8"/>
        <v>6604900</v>
      </c>
      <c r="E59" s="3">
        <f>pumpage!BC43</f>
        <v>6998103.448275862</v>
      </c>
      <c r="F59" s="9">
        <f>pumpage!BC42*10^-6</f>
        <v>202.945</v>
      </c>
      <c r="G59" s="3">
        <f t="shared" si="7"/>
        <v>2380.447904604696</v>
      </c>
      <c r="H59" s="103">
        <f>(G59-H2)/H2</f>
        <v>0.5009129285023303</v>
      </c>
      <c r="J59" s="255" t="s">
        <v>33</v>
      </c>
      <c r="K59" s="256">
        <f>24547.57+1022.82+3429.81+142.91+44801+1792.04+5813.39+232.54</f>
        <v>81782.07999999999</v>
      </c>
      <c r="L59" s="260">
        <f>496300+64400</f>
        <v>560700</v>
      </c>
      <c r="M59" s="258">
        <f t="shared" si="14"/>
        <v>0.14585710718744424</v>
      </c>
      <c r="O59" s="45" t="s">
        <v>33</v>
      </c>
      <c r="P59" s="46">
        <f>27851.23+5059.7+44555.83+6252.46</f>
        <v>83719.22000000002</v>
      </c>
      <c r="Q59" s="36">
        <f>474600+66600</f>
        <v>541200</v>
      </c>
      <c r="R59" s="47">
        <f t="shared" si="15"/>
        <v>0.15469183296378422</v>
      </c>
      <c r="T59" s="59" t="s">
        <v>33</v>
      </c>
      <c r="U59" s="60">
        <f>25603.67+4322.31+35440.8+4773.02</f>
        <v>70139.8</v>
      </c>
      <c r="V59" s="64">
        <f>476700+64200</f>
        <v>540900</v>
      </c>
      <c r="W59" s="62">
        <f t="shared" si="16"/>
        <v>0.12967239785542614</v>
      </c>
      <c r="Y59" s="290" t="s">
        <v>33</v>
      </c>
      <c r="Z59" s="291">
        <f>27512.75+4443.71+33928.16+4379.26</f>
        <v>70263.87999999999</v>
      </c>
      <c r="AA59" s="295">
        <f>457100+59000</f>
        <v>516100</v>
      </c>
      <c r="AB59" s="293">
        <f t="shared" si="17"/>
        <v>0.13614392559581476</v>
      </c>
    </row>
    <row r="60" spans="1:28" ht="12.75">
      <c r="A60" s="7">
        <v>41193</v>
      </c>
      <c r="B60" s="7">
        <v>41219</v>
      </c>
      <c r="C60" s="3">
        <v>509300</v>
      </c>
      <c r="D60" s="3">
        <f t="shared" si="8"/>
        <v>6577300</v>
      </c>
      <c r="E60" s="3">
        <f>pumpage!BD43</f>
        <v>7331518.518518519</v>
      </c>
      <c r="F60" s="9">
        <f>pumpage!BD42*10^-6</f>
        <v>197.951</v>
      </c>
      <c r="G60" s="3">
        <f t="shared" si="7"/>
        <v>2572.858939838647</v>
      </c>
      <c r="H60" s="103">
        <f>(G60-H2)/H2</f>
        <v>0.622231361815036</v>
      </c>
      <c r="I60" s="15" t="s">
        <v>128</v>
      </c>
      <c r="J60" s="255" t="s">
        <v>34</v>
      </c>
      <c r="K60" s="256">
        <f>23820.31+992.51+4245.78+176.91+45306.51+1812.27+7654.9+306.2</f>
        <v>84315.39</v>
      </c>
      <c r="L60" s="260">
        <f>501900+84800</f>
        <v>586700</v>
      </c>
      <c r="M60" s="258">
        <f t="shared" si="14"/>
        <v>0.14371124936083177</v>
      </c>
      <c r="O60" s="45" t="s">
        <v>34</v>
      </c>
      <c r="P60" s="46">
        <f>29553.85+5315.59+44095.84+6872.07</f>
        <v>85837.35</v>
      </c>
      <c r="Q60" s="36">
        <f>469700+73200</f>
        <v>542900</v>
      </c>
      <c r="R60" s="47">
        <f t="shared" si="15"/>
        <v>0.15810895192484806</v>
      </c>
      <c r="T60" s="59" t="s">
        <v>34</v>
      </c>
      <c r="U60" s="60">
        <f>28298.93+4936.17+37689.39+5659.74</f>
        <v>76584.23</v>
      </c>
      <c r="V60" s="64">
        <f>506100+76000</f>
        <v>582100</v>
      </c>
      <c r="W60" s="62">
        <f t="shared" si="16"/>
        <v>0.13156541831300464</v>
      </c>
      <c r="Y60" s="290" t="s">
        <v>34</v>
      </c>
      <c r="Z60" s="291">
        <f>27041.34+5021.77+33564.45+5151.2</f>
        <v>70778.76</v>
      </c>
      <c r="AA60" s="295">
        <f>452200+69400</f>
        <v>521600</v>
      </c>
      <c r="AB60" s="293">
        <f t="shared" si="17"/>
        <v>0.1356954754601227</v>
      </c>
    </row>
    <row r="61" spans="1:28" ht="12.75">
      <c r="A61" s="7">
        <v>41220</v>
      </c>
      <c r="B61" s="7">
        <v>41253</v>
      </c>
      <c r="C61" s="3">
        <v>456600</v>
      </c>
      <c r="D61" s="3">
        <f t="shared" si="8"/>
        <v>6435800</v>
      </c>
      <c r="E61" s="3">
        <f>pumpage!BE43</f>
        <v>6775882.352941177</v>
      </c>
      <c r="F61" s="9">
        <f>pumpage!BE42*10^-6</f>
        <v>230.38</v>
      </c>
      <c r="G61" s="3">
        <f t="shared" si="7"/>
        <v>1981.9428769858496</v>
      </c>
      <c r="H61" s="103">
        <f>(G61-H2)/H2</f>
        <v>0.24964872445513844</v>
      </c>
      <c r="J61" s="255" t="s">
        <v>35</v>
      </c>
      <c r="K61" s="256">
        <f>25308.42+1054.52+4148.43+172.85+46570.3+1862.82+7041.06+281.65</f>
        <v>86440.05</v>
      </c>
      <c r="L61" s="260">
        <f>515900+78000</f>
        <v>593900</v>
      </c>
      <c r="M61" s="258">
        <f t="shared" si="14"/>
        <v>0.14554647247011282</v>
      </c>
      <c r="O61" s="45" t="s">
        <v>35</v>
      </c>
      <c r="P61" s="46">
        <f>27560.04+4836.68+40810.87+5359.95</f>
        <v>78567.54</v>
      </c>
      <c r="Q61" s="36">
        <f>434000+57000</f>
        <v>491000</v>
      </c>
      <c r="R61" s="47">
        <f t="shared" si="15"/>
        <v>0.1600153564154786</v>
      </c>
      <c r="T61" s="59" t="s">
        <v>35</v>
      </c>
      <c r="U61" s="60">
        <f>27277.32+5523.27+35805.09+6691.16</f>
        <v>75296.84</v>
      </c>
      <c r="V61" s="64">
        <f>481600+90000</f>
        <v>571600</v>
      </c>
      <c r="W61" s="62">
        <f t="shared" si="16"/>
        <v>0.1317299510146956</v>
      </c>
      <c r="Y61" s="290" t="s">
        <v>35</v>
      </c>
      <c r="Z61" s="291">
        <f>31549.28+4558.52+41825.67+4438.64</f>
        <v>82372.11</v>
      </c>
      <c r="AA61" s="295">
        <f>563500+59800</f>
        <v>623300</v>
      </c>
      <c r="AB61" s="293">
        <f t="shared" si="17"/>
        <v>0.13215483715706722</v>
      </c>
    </row>
    <row r="62" spans="1:28" ht="12.75">
      <c r="A62" s="7">
        <v>41254</v>
      </c>
      <c r="B62" s="7">
        <v>41284</v>
      </c>
      <c r="C62" s="3">
        <v>498400</v>
      </c>
      <c r="D62" s="3">
        <f t="shared" si="8"/>
        <v>6394500</v>
      </c>
      <c r="E62" s="3">
        <f>pumpage!BF43</f>
        <v>6516193.548387097</v>
      </c>
      <c r="F62" s="9">
        <f>pumpage!BF42*10^-6</f>
        <v>202.00199999999998</v>
      </c>
      <c r="G62" s="3">
        <f t="shared" si="7"/>
        <v>2467.302303937585</v>
      </c>
      <c r="H62" s="103">
        <f>(G62-H2)/H2</f>
        <v>0.5556761058875062</v>
      </c>
      <c r="J62" s="255" t="s">
        <v>36</v>
      </c>
      <c r="K62" s="256">
        <f>25779.38+1074.14+3967.11+165.3+49034.67+1961.39+6734.14+269.37</f>
        <v>88985.5</v>
      </c>
      <c r="L62" s="260">
        <f>543200+74600</f>
        <v>617800</v>
      </c>
      <c r="M62" s="258">
        <f t="shared" si="14"/>
        <v>0.14403609582389124</v>
      </c>
      <c r="O62" s="45" t="s">
        <v>36</v>
      </c>
      <c r="P62" s="46">
        <f>31201.86+6439.03+49433.81+9328.2</f>
        <v>96402.9</v>
      </c>
      <c r="Q62" s="36">
        <f>525700+99200</f>
        <v>624900</v>
      </c>
      <c r="R62" s="47">
        <f t="shared" si="15"/>
        <v>0.15426932309169467</v>
      </c>
      <c r="T62" s="59" t="s">
        <v>36</v>
      </c>
      <c r="U62" s="60">
        <f>29727.04+4918.13+37990.87+5579.76</f>
        <v>78215.8</v>
      </c>
      <c r="V62" s="64">
        <f>511000+75200</f>
        <v>586200</v>
      </c>
      <c r="W62" s="62">
        <f t="shared" si="16"/>
        <v>0.13342852268850222</v>
      </c>
      <c r="Y62" s="290" t="s">
        <v>36</v>
      </c>
      <c r="Z62" s="291">
        <f>26856.82+5561.83+35123.18+6294.26</f>
        <v>73836.09</v>
      </c>
      <c r="AA62" s="295">
        <f>473200+84800</f>
        <v>558000</v>
      </c>
      <c r="AB62" s="293">
        <f t="shared" si="17"/>
        <v>0.13232274193548388</v>
      </c>
    </row>
    <row r="63" spans="1:28" ht="12.75">
      <c r="A63" s="7">
        <v>41285</v>
      </c>
      <c r="B63" s="7">
        <v>41317</v>
      </c>
      <c r="C63" s="3">
        <v>540700</v>
      </c>
      <c r="D63" s="3">
        <f t="shared" si="8"/>
        <v>6421700</v>
      </c>
      <c r="E63" s="3">
        <f>pumpage!BG43</f>
        <v>7316216.7272727275</v>
      </c>
      <c r="F63" s="9">
        <f>pumpage!BG42*10^-6</f>
        <v>241.435152</v>
      </c>
      <c r="G63" s="3">
        <f t="shared" si="7"/>
        <v>2239.524756527583</v>
      </c>
      <c r="H63" s="103">
        <f>(G63-H2)/H2</f>
        <v>0.41205848456972455</v>
      </c>
      <c r="I63" s="15" t="s">
        <v>127</v>
      </c>
      <c r="J63" s="255" t="s">
        <v>37</v>
      </c>
      <c r="K63" s="256">
        <f>22858.19+3705.83+40377.77+1615.11+5560.63+222.43</f>
        <v>74339.95999999999</v>
      </c>
      <c r="L63" s="260">
        <f>447300+61600</f>
        <v>508900</v>
      </c>
      <c r="M63" s="258">
        <f t="shared" si="14"/>
        <v>0.1460797013165651</v>
      </c>
      <c r="O63" s="45" t="s">
        <v>37</v>
      </c>
      <c r="P63" s="46">
        <f>27025.73+5406.84+41337.46+6845.7</f>
        <v>80615.73</v>
      </c>
      <c r="Q63" s="36">
        <f>439600+72800</f>
        <v>512400</v>
      </c>
      <c r="R63" s="47">
        <f t="shared" si="15"/>
        <v>0.1573296838407494</v>
      </c>
      <c r="T63" s="59" t="s">
        <v>37</v>
      </c>
      <c r="U63" s="60">
        <f>26669.14+5212.53+32006.01+5129.88</f>
        <v>69017.56</v>
      </c>
      <c r="V63" s="64">
        <f>430500+69000</f>
        <v>499500</v>
      </c>
      <c r="W63" s="62">
        <f t="shared" si="16"/>
        <v>0.13817329329329328</v>
      </c>
      <c r="Y63" s="290" t="s">
        <v>37</v>
      </c>
      <c r="Z63" s="291">
        <f>22996.42+5197.49+28888.29+5952.83</f>
        <v>63035.03</v>
      </c>
      <c r="AA63" s="295">
        <f>389200+80200</f>
        <v>469400</v>
      </c>
      <c r="AB63" s="293">
        <f t="shared" si="17"/>
        <v>0.13428851725607158</v>
      </c>
    </row>
    <row r="64" spans="1:28" ht="12.75">
      <c r="A64" s="7">
        <v>41318</v>
      </c>
      <c r="B64" s="7">
        <v>41344</v>
      </c>
      <c r="C64" s="3">
        <v>482900</v>
      </c>
      <c r="D64" s="171">
        <f t="shared" si="8"/>
        <v>6358800</v>
      </c>
      <c r="E64" s="3">
        <f>pumpage!BH43</f>
        <v>6869880.481481481</v>
      </c>
      <c r="F64" s="9">
        <f>pumpage!BH42*10^-6</f>
        <v>185.486773</v>
      </c>
      <c r="G64" s="3">
        <f t="shared" si="7"/>
        <v>2603.420137132905</v>
      </c>
      <c r="H64" s="103">
        <f>(G64-H2)/H2</f>
        <v>0.6415007169816551</v>
      </c>
      <c r="J64" s="255" t="s">
        <v>38</v>
      </c>
      <c r="K64" s="256">
        <f>20525.02+3396.02+33932.5+1357.3+4748.2+189.93</f>
        <v>64148.97</v>
      </c>
      <c r="L64" s="260">
        <f>375900+52600</f>
        <v>428500</v>
      </c>
      <c r="M64" s="258">
        <f t="shared" si="14"/>
        <v>0.14970588098016335</v>
      </c>
      <c r="O64" s="45" t="s">
        <v>38</v>
      </c>
      <c r="P64" s="46">
        <f>24467.39+5323.31+36663.95+6958.54</f>
        <v>73413.18999999999</v>
      </c>
      <c r="Q64" s="36">
        <f>389900+74000</f>
        <v>463900</v>
      </c>
      <c r="R64" s="47">
        <f t="shared" si="15"/>
        <v>0.15825218797154555</v>
      </c>
      <c r="T64" s="59" t="s">
        <v>38</v>
      </c>
      <c r="U64" s="60">
        <f>24664.51+5137.41+28206.92+4891.98</f>
        <v>62900.81999999999</v>
      </c>
      <c r="V64" s="64">
        <f>379400+65800</f>
        <v>445200</v>
      </c>
      <c r="W64" s="62">
        <f t="shared" si="16"/>
        <v>0.14128665768194068</v>
      </c>
      <c r="Y64" s="290" t="s">
        <v>38</v>
      </c>
      <c r="Z64" s="291">
        <f>24411.33+4885.3+29096.12+5136.36</f>
        <v>63529.11</v>
      </c>
      <c r="AA64" s="295">
        <f>392000+69200</f>
        <v>461200</v>
      </c>
      <c r="AB64" s="293">
        <f t="shared" si="17"/>
        <v>0.1377474197745013</v>
      </c>
    </row>
    <row r="65" spans="1:28" ht="12.75">
      <c r="A65" s="7">
        <v>41345</v>
      </c>
      <c r="B65" s="7">
        <v>41373</v>
      </c>
      <c r="C65" s="3">
        <v>479700</v>
      </c>
      <c r="D65" s="3">
        <f t="shared" si="8"/>
        <v>6368000</v>
      </c>
      <c r="E65" s="3">
        <f>pumpage!BI43</f>
        <v>6823103.448275862</v>
      </c>
      <c r="F65" s="9">
        <f>pumpage!BI42*10^-6</f>
        <v>197.87</v>
      </c>
      <c r="G65" s="3">
        <f t="shared" si="7"/>
        <v>2424.3189973214735</v>
      </c>
      <c r="H65" s="103">
        <f>(G65-H2)/H2</f>
        <v>0.5285743993199706</v>
      </c>
      <c r="J65" s="255" t="s">
        <v>39</v>
      </c>
      <c r="K65" s="256">
        <f>20866.26+869.43+3594.17+149.76+39240.37+1569.62+6011.98+240.48</f>
        <v>72542.06999999999</v>
      </c>
      <c r="L65" s="260">
        <f>434700+66600</f>
        <v>501300</v>
      </c>
      <c r="M65" s="258">
        <f t="shared" si="14"/>
        <v>0.14470789946140034</v>
      </c>
      <c r="O65" s="45" t="s">
        <v>39</v>
      </c>
      <c r="P65" s="46">
        <f>23815.83+4315.15+36532.31+5510.41</f>
        <v>70173.7</v>
      </c>
      <c r="Q65" s="36">
        <f>388500+58600</f>
        <v>447100</v>
      </c>
      <c r="R65" s="47">
        <f t="shared" si="15"/>
        <v>0.15695303064191454</v>
      </c>
      <c r="T65" s="59" t="s">
        <v>39</v>
      </c>
      <c r="U65" s="60">
        <f>25235.06+4674.89+31797.84+4431.77</f>
        <v>66139.56</v>
      </c>
      <c r="V65" s="64">
        <f>427700+59600</f>
        <v>487300</v>
      </c>
      <c r="W65" s="62">
        <f t="shared" si="16"/>
        <v>0.1357265750051303</v>
      </c>
      <c r="Y65" s="290" t="s">
        <v>39</v>
      </c>
      <c r="Z65" s="291">
        <f>23919.35+4394.72+30343.1+4290.19</f>
        <v>62947.36</v>
      </c>
      <c r="AA65" s="295">
        <f>408800+57800</f>
        <v>466600</v>
      </c>
      <c r="AB65" s="293">
        <f t="shared" si="17"/>
        <v>0.1349064723531933</v>
      </c>
    </row>
    <row r="66" spans="1:28" ht="12.75">
      <c r="A66" s="7">
        <v>41374</v>
      </c>
      <c r="B66" s="7">
        <v>41406</v>
      </c>
      <c r="C66" s="3">
        <v>580800</v>
      </c>
      <c r="D66" s="3">
        <f t="shared" si="8"/>
        <v>6461500</v>
      </c>
      <c r="E66" s="3">
        <f>pumpage!BJ43</f>
        <v>7523696.96969697</v>
      </c>
      <c r="F66" s="9">
        <f>pumpage!BJ42*10^-6</f>
        <v>248.28199999999998</v>
      </c>
      <c r="G66" s="3">
        <f t="shared" si="7"/>
        <v>2339.2755012445527</v>
      </c>
      <c r="H66" s="103">
        <f>(G66-H2)/H2</f>
        <v>0.4749530272664267</v>
      </c>
      <c r="J66" s="255" t="s">
        <v>40</v>
      </c>
      <c r="K66" s="261">
        <f>20116.21+838.18+2770.52+115.44+37389.18+4001.71</f>
        <v>65231.24</v>
      </c>
      <c r="L66" s="260">
        <f>394100+42200</f>
        <v>436300</v>
      </c>
      <c r="M66" s="258">
        <f t="shared" si="14"/>
        <v>0.14951006188402474</v>
      </c>
      <c r="O66" s="45" t="s">
        <v>40</v>
      </c>
      <c r="P66" s="278">
        <f>24910.21+4322.4+30439.65+4124.63</f>
        <v>63796.89</v>
      </c>
      <c r="Q66" s="36">
        <f>406000+55200</f>
        <v>461200</v>
      </c>
      <c r="R66" s="47">
        <f t="shared" si="15"/>
        <v>0.13832803555941023</v>
      </c>
      <c r="T66" s="59" t="s">
        <v>40</v>
      </c>
      <c r="U66" s="281">
        <f>24965.72+4574.81+29299.81+4356.68</f>
        <v>63197.020000000004</v>
      </c>
      <c r="V66" s="64">
        <f>394100+58600</f>
        <v>452700</v>
      </c>
      <c r="W66" s="62">
        <f t="shared" si="16"/>
        <v>0.13960022089684118</v>
      </c>
      <c r="Y66" s="290" t="s">
        <v>40</v>
      </c>
      <c r="Z66" s="296">
        <f>25315.96+4029.03+31849.86+3844.84</f>
        <v>65039.69</v>
      </c>
      <c r="AA66" s="295">
        <f>429100+51800</f>
        <v>480900</v>
      </c>
      <c r="AB66" s="293">
        <f t="shared" si="17"/>
        <v>0.13524576835100854</v>
      </c>
    </row>
    <row r="67" spans="1:28" ht="12.75">
      <c r="A67" s="7">
        <v>41407</v>
      </c>
      <c r="B67" s="7">
        <v>41436</v>
      </c>
      <c r="C67" s="3">
        <v>590800</v>
      </c>
      <c r="D67" s="3">
        <f t="shared" si="8"/>
        <v>6477800</v>
      </c>
      <c r="E67" s="3">
        <f>pumpage!BK43</f>
        <v>8911066.666666666</v>
      </c>
      <c r="F67" s="9">
        <f>pumpage!BK42*10^-6</f>
        <v>267.332</v>
      </c>
      <c r="G67" s="3">
        <f t="shared" si="7"/>
        <v>2209.986084718627</v>
      </c>
      <c r="H67" s="103">
        <f>(G67-H2)/H2</f>
        <v>0.39343384912902074</v>
      </c>
      <c r="J67" s="255" t="s">
        <v>41</v>
      </c>
      <c r="K67" s="261">
        <f>20277.62+844.9+4068.3+169.51+35464.72+5256.85</f>
        <v>66081.90000000001</v>
      </c>
      <c r="L67" s="260">
        <f>372400+55200</f>
        <v>427600</v>
      </c>
      <c r="M67" s="258">
        <f t="shared" si="14"/>
        <v>0.15454139382600562</v>
      </c>
      <c r="O67" s="45" t="s">
        <v>41</v>
      </c>
      <c r="P67" s="278">
        <f>24546.05+5187.35+29174.81+5792.83</f>
        <v>64701.04000000001</v>
      </c>
      <c r="Q67" s="36">
        <f>387800+77000</f>
        <v>464800</v>
      </c>
      <c r="R67" s="47">
        <f t="shared" si="15"/>
        <v>0.13920189328743549</v>
      </c>
      <c r="T67" s="59" t="s">
        <v>41</v>
      </c>
      <c r="U67" s="281">
        <f>24360.17+4572.6+28779.39+4282.34</f>
        <v>61994.5</v>
      </c>
      <c r="V67" s="64">
        <f>387100+57600</f>
        <v>444700</v>
      </c>
      <c r="W67" s="62">
        <f t="shared" si="16"/>
        <v>0.13940746570721835</v>
      </c>
      <c r="Y67" s="290" t="s">
        <v>41</v>
      </c>
      <c r="Z67" s="296">
        <f>21071.24+4433.7+24523.87+4601.94</f>
        <v>54630.75</v>
      </c>
      <c r="AA67" s="295">
        <f>330400+62000</f>
        <v>392400</v>
      </c>
      <c r="AB67" s="293">
        <f t="shared" si="17"/>
        <v>0.13922209480122325</v>
      </c>
    </row>
    <row r="68" spans="1:28" ht="12.75">
      <c r="A68" s="7">
        <v>41437</v>
      </c>
      <c r="B68" s="7">
        <v>41466</v>
      </c>
      <c r="C68" s="3">
        <v>617600</v>
      </c>
      <c r="D68" s="3">
        <f t="shared" si="8"/>
        <v>6483200</v>
      </c>
      <c r="E68" s="3">
        <f>pumpage!BL43</f>
        <v>9248833.333333334</v>
      </c>
      <c r="F68" s="9">
        <f>pumpage!BL42*10^-6</f>
        <v>277.465</v>
      </c>
      <c r="G68" s="3">
        <f t="shared" si="7"/>
        <v>2225.8663254824933</v>
      </c>
      <c r="H68" s="103">
        <f>(G68-H2)/H2</f>
        <v>0.4034466112752164</v>
      </c>
      <c r="J68" s="255" t="s">
        <v>42</v>
      </c>
      <c r="K68" s="261">
        <f>19631.68+1283.74+3911.18+162.97+33731.47+4837.83</f>
        <v>63558.87000000001</v>
      </c>
      <c r="L68" s="260">
        <f>354200+50800</f>
        <v>405000</v>
      </c>
      <c r="M68" s="258">
        <f t="shared" si="14"/>
        <v>0.1569354814814815</v>
      </c>
      <c r="O68" s="45" t="s">
        <v>42</v>
      </c>
      <c r="P68" s="278">
        <f>22877.15+4361.19+28911.5+4243.06</f>
        <v>60392.899999999994</v>
      </c>
      <c r="Q68" s="36">
        <f>384300+56400</f>
        <v>440700</v>
      </c>
      <c r="R68" s="47">
        <f t="shared" si="15"/>
        <v>0.1370385749943272</v>
      </c>
      <c r="T68" s="59" t="s">
        <v>42</v>
      </c>
      <c r="U68" s="281">
        <f>25351.21+4572.6+30083.31+4275.35</f>
        <v>64282.469999999994</v>
      </c>
      <c r="V68" s="64">
        <f>405300+57600</f>
        <v>462900</v>
      </c>
      <c r="W68" s="62">
        <f t="shared" si="16"/>
        <v>0.1388690213869086</v>
      </c>
      <c r="Y68" s="290" t="s">
        <v>42</v>
      </c>
      <c r="Z68" s="296">
        <f>21952.66+4186.21+26238.47+3978.45</f>
        <v>56355.78999999999</v>
      </c>
      <c r="AA68" s="295">
        <f>353500+53600</f>
        <v>407100</v>
      </c>
      <c r="AB68" s="293">
        <f t="shared" si="17"/>
        <v>0.13843230164578726</v>
      </c>
    </row>
    <row r="69" spans="1:28" ht="12.75">
      <c r="A69" s="7">
        <v>41467</v>
      </c>
      <c r="B69" s="7">
        <v>41499</v>
      </c>
      <c r="C69" s="3">
        <v>705000</v>
      </c>
      <c r="D69" s="3">
        <f t="shared" si="8"/>
        <v>6567500</v>
      </c>
      <c r="E69" s="3">
        <f>pumpage!BM43</f>
        <v>9771878.787878787</v>
      </c>
      <c r="F69" s="9">
        <f>pumpage!BM42*10^-6</f>
        <v>322.472</v>
      </c>
      <c r="G69" s="3">
        <f t="shared" si="7"/>
        <v>2186.236324394056</v>
      </c>
      <c r="H69" s="103">
        <f>(G69-H2)/H2</f>
        <v>0.3784592209294173</v>
      </c>
      <c r="J69" s="252"/>
      <c r="K69" s="256"/>
      <c r="L69" s="260"/>
      <c r="M69" s="254"/>
      <c r="O69" s="42"/>
      <c r="P69" s="46"/>
      <c r="Q69" s="36"/>
      <c r="R69" s="44"/>
      <c r="T69" s="56"/>
      <c r="U69" s="60"/>
      <c r="V69" s="64"/>
      <c r="W69" s="58"/>
      <c r="Y69" s="287"/>
      <c r="Z69" s="291"/>
      <c r="AA69" s="295"/>
      <c r="AB69" s="289"/>
    </row>
    <row r="70" spans="1:28" ht="12.75">
      <c r="A70" s="7">
        <v>41500</v>
      </c>
      <c r="B70" s="7">
        <v>41528</v>
      </c>
      <c r="C70" s="3">
        <v>617200</v>
      </c>
      <c r="D70" s="3">
        <f t="shared" si="8"/>
        <v>6562100</v>
      </c>
      <c r="E70" s="3">
        <f>pumpage!BN43</f>
        <v>9101620.689655172</v>
      </c>
      <c r="F70" s="9">
        <f>pumpage!BN42*10^-6</f>
        <v>263.947</v>
      </c>
      <c r="G70" s="3">
        <f t="shared" si="7"/>
        <v>2338.348229000519</v>
      </c>
      <c r="H70" s="103">
        <f>(G70-H2)/H2</f>
        <v>0.47436836633071816</v>
      </c>
      <c r="J70" s="262" t="s">
        <v>43</v>
      </c>
      <c r="K70" s="263"/>
      <c r="L70" s="264"/>
      <c r="M70" s="265">
        <f>AVERAGE(M57:M68)</f>
        <v>0.14741880903445123</v>
      </c>
      <c r="O70" s="48" t="s">
        <v>43</v>
      </c>
      <c r="P70" s="49"/>
      <c r="Q70" s="50"/>
      <c r="R70" s="51">
        <f>AVERAGE(R57:R68)</f>
        <v>0.152317750557076</v>
      </c>
      <c r="T70" s="65" t="s">
        <v>43</v>
      </c>
      <c r="U70" s="66"/>
      <c r="V70" s="67"/>
      <c r="W70" s="68">
        <f>AVERAGE(W57:W68)</f>
        <v>0.13589436325777035</v>
      </c>
      <c r="Y70" s="297" t="s">
        <v>43</v>
      </c>
      <c r="Z70" s="298"/>
      <c r="AA70" s="299"/>
      <c r="AB70" s="300">
        <f>AVERAGE(AB57:AB68)</f>
        <v>0.13626248762079077</v>
      </c>
    </row>
    <row r="71" spans="1:28" ht="12.75">
      <c r="A71" s="7">
        <v>41529</v>
      </c>
      <c r="B71" s="7">
        <v>41556</v>
      </c>
      <c r="C71" s="3">
        <v>544400</v>
      </c>
      <c r="D71" s="3">
        <f t="shared" si="8"/>
        <v>6623400</v>
      </c>
      <c r="E71" s="3">
        <f>pumpage!BO43</f>
        <v>8542892.857142856</v>
      </c>
      <c r="F71" s="9">
        <f>pumpage!BO42*10^-6</f>
        <v>239.201</v>
      </c>
      <c r="G71" s="3">
        <f t="shared" si="7"/>
        <v>2275.910217766648</v>
      </c>
      <c r="H71" s="103">
        <f>(G71-H2)/H2</f>
        <v>0.43500013730557896</v>
      </c>
      <c r="T71" s="273"/>
      <c r="U71" s="273"/>
      <c r="V71" s="273"/>
      <c r="W71" s="273"/>
      <c r="Y71" s="273"/>
      <c r="Z71" s="273"/>
      <c r="AA71" s="273"/>
      <c r="AB71" s="273"/>
    </row>
    <row r="72" spans="1:28" ht="12.75">
      <c r="A72" s="7">
        <v>41557</v>
      </c>
      <c r="B72" s="7">
        <v>41584</v>
      </c>
      <c r="C72" s="3">
        <v>524100</v>
      </c>
      <c r="D72" s="3">
        <f t="shared" si="8"/>
        <v>6638200</v>
      </c>
      <c r="E72" s="3">
        <f>pumpage!BP43</f>
        <v>8082785.714285715</v>
      </c>
      <c r="F72" s="9">
        <f>pumpage!BP42*10^-6</f>
        <v>226.31799999999998</v>
      </c>
      <c r="G72" s="3">
        <f t="shared" si="7"/>
        <v>2315.7680785443495</v>
      </c>
      <c r="H72" s="103">
        <f>(G72-H2)/H2</f>
        <v>0.4601311970645331</v>
      </c>
      <c r="T72" s="273"/>
      <c r="U72" s="273"/>
      <c r="V72" s="273"/>
      <c r="W72" s="273"/>
      <c r="Y72" s="273"/>
      <c r="Z72" s="273"/>
      <c r="AA72" s="273"/>
      <c r="AB72" s="273"/>
    </row>
    <row r="73" spans="1:28" ht="12.75">
      <c r="A73" s="7">
        <v>41585</v>
      </c>
      <c r="B73" s="7">
        <v>41618</v>
      </c>
      <c r="C73" s="3">
        <v>600300</v>
      </c>
      <c r="D73" s="195">
        <f t="shared" si="8"/>
        <v>6781900</v>
      </c>
      <c r="E73" s="3">
        <f>pumpage!BQ43</f>
        <v>7485882.352941177</v>
      </c>
      <c r="F73" s="9">
        <f>pumpage!BQ42*10^-6</f>
        <v>254.51999999999998</v>
      </c>
      <c r="G73" s="3">
        <f t="shared" si="7"/>
        <v>2358.5572842998586</v>
      </c>
      <c r="H73" s="103">
        <f>(G73-H2)/H2</f>
        <v>0.48711051973509367</v>
      </c>
      <c r="T73" s="273"/>
      <c r="U73" s="273"/>
      <c r="V73" s="273"/>
      <c r="W73" s="273"/>
      <c r="Y73" s="273"/>
      <c r="Z73" s="273"/>
      <c r="AA73" s="273"/>
      <c r="AB73" s="273"/>
    </row>
    <row r="74" spans="1:28" ht="12.75">
      <c r="A74" s="7">
        <v>41619</v>
      </c>
      <c r="B74" s="7">
        <v>41651</v>
      </c>
      <c r="C74" s="3">
        <v>607100</v>
      </c>
      <c r="D74" s="3">
        <f t="shared" si="8"/>
        <v>6890600</v>
      </c>
      <c r="E74" s="3">
        <f>pumpage!BR43</f>
        <v>7700848.484848484</v>
      </c>
      <c r="F74" s="9">
        <f>pumpage!BR42*10^-6</f>
        <v>254.128</v>
      </c>
      <c r="G74" s="3">
        <f t="shared" si="7"/>
        <v>2388.9535981867407</v>
      </c>
      <c r="H74" s="103">
        <f>(G74-H2)/H2</f>
        <v>0.5062759131063939</v>
      </c>
      <c r="J74" s="266" t="s">
        <v>44</v>
      </c>
      <c r="K74" s="267" t="s">
        <v>46</v>
      </c>
      <c r="O74" s="37" t="s">
        <v>44</v>
      </c>
      <c r="P74" s="76" t="s">
        <v>46</v>
      </c>
      <c r="T74" s="71" t="s">
        <v>44</v>
      </c>
      <c r="U74" s="77" t="s">
        <v>46</v>
      </c>
      <c r="V74" s="273"/>
      <c r="W74" s="273"/>
      <c r="Y74" s="301" t="s">
        <v>44</v>
      </c>
      <c r="Z74" s="302" t="s">
        <v>46</v>
      </c>
      <c r="AA74" s="273"/>
      <c r="AB74" s="273"/>
    </row>
    <row r="75" spans="1:28" ht="12.75">
      <c r="A75" s="7">
        <v>41652</v>
      </c>
      <c r="B75" s="7">
        <v>41680</v>
      </c>
      <c r="C75" s="3">
        <v>522000</v>
      </c>
      <c r="D75" s="3">
        <f t="shared" si="8"/>
        <v>6871900</v>
      </c>
      <c r="E75" s="3">
        <f>pumpage!BS43</f>
        <v>8023931.0344827585</v>
      </c>
      <c r="F75" s="9">
        <f>pumpage!BS42*10^-6</f>
        <v>232.694</v>
      </c>
      <c r="G75" s="3">
        <f t="shared" si="7"/>
        <v>2243.289470291456</v>
      </c>
      <c r="H75" s="103">
        <f>(G75-H2)/H2</f>
        <v>0.41443220068818154</v>
      </c>
      <c r="J75" s="268" t="s">
        <v>45</v>
      </c>
      <c r="K75" s="269"/>
      <c r="O75" s="279" t="s">
        <v>45</v>
      </c>
      <c r="P75" s="29"/>
      <c r="T75" s="72" t="s">
        <v>45</v>
      </c>
      <c r="U75" s="78"/>
      <c r="V75" s="273"/>
      <c r="W75" s="273"/>
      <c r="Y75" s="303" t="s">
        <v>45</v>
      </c>
      <c r="Z75" s="304"/>
      <c r="AA75" s="273"/>
      <c r="AB75" s="273"/>
    </row>
    <row r="76" spans="1:28" ht="12.75">
      <c r="A76" s="7">
        <v>41681</v>
      </c>
      <c r="B76" s="7">
        <v>41709</v>
      </c>
      <c r="C76" s="3">
        <v>536900</v>
      </c>
      <c r="D76" s="196">
        <f t="shared" si="8"/>
        <v>6925900</v>
      </c>
      <c r="E76" s="3">
        <f>pumpage!BT43</f>
        <v>7970413.793103448</v>
      </c>
      <c r="F76" s="9">
        <f>pumpage!BT42*10^-6</f>
        <v>231.142</v>
      </c>
      <c r="G76" s="3">
        <f t="shared" si="7"/>
        <v>2322.8145469019046</v>
      </c>
      <c r="H76" s="103">
        <f>(G76-H2)/H2</f>
        <v>0.46457411532276455</v>
      </c>
      <c r="J76" s="270">
        <v>0</v>
      </c>
      <c r="K76" s="271">
        <f>J76*M70</f>
        <v>0</v>
      </c>
      <c r="O76" s="74">
        <v>0</v>
      </c>
      <c r="P76" s="30">
        <f>O76*R70</f>
        <v>0</v>
      </c>
      <c r="T76" s="75">
        <v>0</v>
      </c>
      <c r="U76" s="73">
        <f>T76*W70</f>
        <v>0</v>
      </c>
      <c r="V76" s="273"/>
      <c r="W76" s="273"/>
      <c r="Y76" s="305">
        <v>0</v>
      </c>
      <c r="Z76" s="306">
        <f>Y76*AB70</f>
        <v>0</v>
      </c>
      <c r="AA76" s="273"/>
      <c r="AB76" s="273"/>
    </row>
    <row r="77" spans="1:8" ht="12.75">
      <c r="A77" s="7">
        <v>41710</v>
      </c>
      <c r="B77" s="7">
        <v>41738</v>
      </c>
      <c r="C77" s="3">
        <v>514200</v>
      </c>
      <c r="D77" s="3">
        <f t="shared" si="8"/>
        <v>6960400</v>
      </c>
      <c r="E77" s="3">
        <f>pumpage!BU43</f>
        <v>7854517.24137931</v>
      </c>
      <c r="F77" s="9">
        <f>pumpage!BU42*10^-6</f>
        <v>227.78099999999998</v>
      </c>
      <c r="G77" s="3">
        <f t="shared" si="7"/>
        <v>2257.431480237597</v>
      </c>
      <c r="H77" s="103">
        <f>(G77-H2)/H2</f>
        <v>0.42334897871223015</v>
      </c>
    </row>
    <row r="78" spans="1:8" ht="12.75">
      <c r="A78" s="7">
        <v>41739</v>
      </c>
      <c r="B78" s="7">
        <v>41771</v>
      </c>
      <c r="C78" s="3">
        <v>551000</v>
      </c>
      <c r="D78" s="3">
        <f t="shared" si="8"/>
        <v>6930600</v>
      </c>
      <c r="E78" s="3">
        <f>pumpage!BV43</f>
        <v>7905000</v>
      </c>
      <c r="F78" s="9">
        <f>pumpage!BV42*10^-6</f>
        <v>260.865</v>
      </c>
      <c r="G78" s="3">
        <f t="shared" si="7"/>
        <v>2112.203630230196</v>
      </c>
      <c r="H78" s="103">
        <f>(G78-H2)/H2</f>
        <v>0.33178034692950553</v>
      </c>
    </row>
    <row r="79" spans="1:8" ht="12.75">
      <c r="A79" s="7">
        <v>41772</v>
      </c>
      <c r="B79" s="7">
        <v>41801</v>
      </c>
      <c r="C79" s="3">
        <v>573000</v>
      </c>
      <c r="D79" s="3">
        <f t="shared" si="8"/>
        <v>6912800</v>
      </c>
      <c r="E79" s="3">
        <f>pumpage!BW43</f>
        <v>9846733.333333334</v>
      </c>
      <c r="F79" s="9">
        <f>pumpage!BW42*10^-6</f>
        <v>295.402</v>
      </c>
      <c r="G79" s="3">
        <f t="shared" si="7"/>
        <v>1939.7295888314907</v>
      </c>
      <c r="H79" s="103">
        <f>(G79-H2)/H2</f>
        <v>0.22303252763650105</v>
      </c>
    </row>
    <row r="80" spans="1:28" ht="12.75">
      <c r="A80" s="7">
        <v>41802</v>
      </c>
      <c r="B80" s="7">
        <v>41833</v>
      </c>
      <c r="C80" s="3">
        <v>675200</v>
      </c>
      <c r="D80" s="3">
        <f t="shared" si="8"/>
        <v>6970400</v>
      </c>
      <c r="E80" s="3">
        <f>pumpage!BX43</f>
        <v>10957343.75</v>
      </c>
      <c r="F80" s="9">
        <f>pumpage!BX42*10^-6</f>
        <v>350.635</v>
      </c>
      <c r="G80" s="3">
        <f aca="true" t="shared" si="18" ref="G80:G86">C80/F80</f>
        <v>1925.6491793460436</v>
      </c>
      <c r="H80" s="14">
        <f>(G80-H2)/H2</f>
        <v>0.2141545897516038</v>
      </c>
      <c r="J80" s="308" t="s">
        <v>169</v>
      </c>
      <c r="K80" s="309" t="s">
        <v>28</v>
      </c>
      <c r="L80" s="309" t="s">
        <v>29</v>
      </c>
      <c r="M80" s="310" t="s">
        <v>30</v>
      </c>
      <c r="O80" s="333" t="s">
        <v>191</v>
      </c>
      <c r="P80" s="334" t="s">
        <v>28</v>
      </c>
      <c r="Q80" s="334" t="s">
        <v>29</v>
      </c>
      <c r="R80" s="335" t="s">
        <v>30</v>
      </c>
      <c r="T80" s="366" t="s">
        <v>192</v>
      </c>
      <c r="U80" s="367" t="s">
        <v>28</v>
      </c>
      <c r="V80" s="367" t="s">
        <v>29</v>
      </c>
      <c r="W80" s="368" t="s">
        <v>30</v>
      </c>
      <c r="Y80" s="390" t="s">
        <v>193</v>
      </c>
      <c r="Z80" s="391" t="s">
        <v>28</v>
      </c>
      <c r="AA80" s="391" t="s">
        <v>29</v>
      </c>
      <c r="AB80" s="392" t="s">
        <v>30</v>
      </c>
    </row>
    <row r="81" spans="1:28" ht="12.75">
      <c r="A81" s="7">
        <v>41834</v>
      </c>
      <c r="B81" s="7">
        <v>41863</v>
      </c>
      <c r="C81" s="3">
        <v>600300</v>
      </c>
      <c r="D81" s="3">
        <f t="shared" si="8"/>
        <v>6865700</v>
      </c>
      <c r="E81" s="3">
        <f>pumpage!BY43</f>
        <v>10315966.666666666</v>
      </c>
      <c r="F81" s="9">
        <f>pumpage!BY42*10^-6</f>
        <v>309.479</v>
      </c>
      <c r="G81" s="3">
        <f t="shared" si="18"/>
        <v>1939.7115797840888</v>
      </c>
      <c r="H81" s="14">
        <f>(G81-H2)/H2</f>
        <v>0.2230211726255289</v>
      </c>
      <c r="J81" s="311"/>
      <c r="K81" s="312"/>
      <c r="L81" s="312"/>
      <c r="M81" s="313"/>
      <c r="O81" s="336"/>
      <c r="P81" s="337"/>
      <c r="Q81" s="337"/>
      <c r="R81" s="338"/>
      <c r="T81" s="369"/>
      <c r="U81" s="370"/>
      <c r="V81" s="370"/>
      <c r="W81" s="371"/>
      <c r="Y81" s="393"/>
      <c r="Z81" s="394"/>
      <c r="AA81" s="394"/>
      <c r="AB81" s="395"/>
    </row>
    <row r="82" spans="1:28" ht="12.75">
      <c r="A82" s="7">
        <v>41864</v>
      </c>
      <c r="B82" s="7">
        <v>41892</v>
      </c>
      <c r="C82" s="3">
        <v>582700</v>
      </c>
      <c r="D82" s="3">
        <f t="shared" si="8"/>
        <v>6831200</v>
      </c>
      <c r="E82" s="3">
        <f>pumpage!BZ43</f>
        <v>10078310.344827587</v>
      </c>
      <c r="F82" s="9">
        <f>pumpage!BZ42*10^-6</f>
        <v>292.271</v>
      </c>
      <c r="G82" s="3">
        <f t="shared" si="18"/>
        <v>1993.697629939337</v>
      </c>
      <c r="H82" s="14">
        <f>(G82-H2)/H2</f>
        <v>0.25706029630475224</v>
      </c>
      <c r="J82" s="314" t="s">
        <v>31</v>
      </c>
      <c r="K82" s="315">
        <f>25964.84+3855.2+29459.82+3711.24</f>
        <v>62991.1</v>
      </c>
      <c r="L82" s="316">
        <f>396900+50000</f>
        <v>446900</v>
      </c>
      <c r="M82" s="317">
        <f>K82/L82</f>
        <v>0.1409512195121951</v>
      </c>
      <c r="O82" s="339" t="s">
        <v>31</v>
      </c>
      <c r="P82" s="340">
        <f>28935.78+31054.41+4922.96+3984.56</f>
        <v>68897.71</v>
      </c>
      <c r="Q82" s="341">
        <f>419300+53800</f>
        <v>473100</v>
      </c>
      <c r="R82" s="342">
        <f>P82/Q82</f>
        <v>0.14563033185373073</v>
      </c>
      <c r="T82" s="372" t="s">
        <v>31</v>
      </c>
      <c r="U82" s="373">
        <f>28428.4+39870.69+4857.14+4955.56</f>
        <v>78111.79</v>
      </c>
      <c r="V82" s="374">
        <f>387800+48200</f>
        <v>436000</v>
      </c>
      <c r="W82" s="375">
        <f>U82/V82</f>
        <v>0.17915548165137613</v>
      </c>
      <c r="Y82" s="396" t="s">
        <v>31</v>
      </c>
      <c r="Z82" s="397">
        <f>24014.77+62532.75+4280.05+7514.25</f>
        <v>98341.82</v>
      </c>
      <c r="AA82" s="398">
        <f>387800+46600</f>
        <v>434400</v>
      </c>
      <c r="AB82" s="399">
        <f>Z82/AA82</f>
        <v>0.22638540515653777</v>
      </c>
    </row>
    <row r="83" spans="1:28" ht="12.75">
      <c r="A83" s="7">
        <v>41893</v>
      </c>
      <c r="B83" s="7">
        <v>41920</v>
      </c>
      <c r="C83" s="3">
        <v>577300</v>
      </c>
      <c r="D83" s="3">
        <f t="shared" si="8"/>
        <v>6864100</v>
      </c>
      <c r="E83" s="3">
        <f>pumpage!CA43</f>
        <v>10161285.714285715</v>
      </c>
      <c r="F83" s="9">
        <f>pumpage!CA42*10^-6</f>
        <v>284.51599999999996</v>
      </c>
      <c r="G83" s="3">
        <f t="shared" si="18"/>
        <v>2029.0598771246612</v>
      </c>
      <c r="H83" s="14">
        <f>(G83-H2)/H2</f>
        <v>0.2793567951605682</v>
      </c>
      <c r="J83" s="314" t="s">
        <v>32</v>
      </c>
      <c r="K83" s="315">
        <f>26020.94+5533.41+27953.14+4215.98</f>
        <v>63723.47</v>
      </c>
      <c r="L83" s="318">
        <f>376600+56800</f>
        <v>433400</v>
      </c>
      <c r="M83" s="317">
        <f aca="true" t="shared" si="19" ref="M83:M93">K83/L83</f>
        <v>0.14703154130133825</v>
      </c>
      <c r="O83" s="339" t="s">
        <v>32</v>
      </c>
      <c r="P83" s="340">
        <f>29427.3+28203+4261.01+3658.69</f>
        <v>65550</v>
      </c>
      <c r="Q83" s="343">
        <f>380800+49400</f>
        <v>430200</v>
      </c>
      <c r="R83" s="342">
        <f aca="true" t="shared" si="20" ref="R83:R93">P83/Q83</f>
        <v>0.15237099023709902</v>
      </c>
      <c r="T83" s="372" t="s">
        <v>32</v>
      </c>
      <c r="U83" s="373">
        <f>29170.78+38143.44+4823.62+4852.75</f>
        <v>76990.59</v>
      </c>
      <c r="V83" s="376">
        <f>371000+47200</f>
        <v>418200</v>
      </c>
      <c r="W83" s="375">
        <f aca="true" t="shared" si="21" ref="W83:W93">U83/V83</f>
        <v>0.18409992826398852</v>
      </c>
      <c r="Y83" s="396" t="s">
        <v>32</v>
      </c>
      <c r="Z83" s="397">
        <f>25592.57+55647.38+4263.7+7417.5</f>
        <v>92921.15</v>
      </c>
      <c r="AA83" s="400">
        <f>345100+46000</f>
        <v>391100</v>
      </c>
      <c r="AB83" s="399">
        <f aca="true" t="shared" si="22" ref="AB83:AB93">Z83/AA83</f>
        <v>0.23758923548964458</v>
      </c>
    </row>
    <row r="84" spans="1:28" ht="12.75">
      <c r="A84" s="7">
        <v>41921</v>
      </c>
      <c r="B84" s="7">
        <v>41952</v>
      </c>
      <c r="C84" s="3">
        <v>533300</v>
      </c>
      <c r="D84" s="3">
        <f t="shared" si="8"/>
        <v>6873300</v>
      </c>
      <c r="E84" s="3">
        <f>pumpage!CB43</f>
        <v>8069062.5</v>
      </c>
      <c r="F84" s="9">
        <f>pumpage!CB42*10^-6</f>
        <v>258.21</v>
      </c>
      <c r="G84" s="3">
        <f t="shared" si="18"/>
        <v>2065.373145889005</v>
      </c>
      <c r="H84" s="14">
        <f>(G84-H2)/H2</f>
        <v>0.3022529293121092</v>
      </c>
      <c r="J84" s="314" t="s">
        <v>33</v>
      </c>
      <c r="K84" s="315">
        <f>29307.96+4630.64+30914.71+3651.87</f>
        <v>68505.18</v>
      </c>
      <c r="L84" s="319">
        <f>416500+49200</f>
        <v>465700</v>
      </c>
      <c r="M84" s="317">
        <f t="shared" si="19"/>
        <v>0.14710152458664374</v>
      </c>
      <c r="O84" s="339" t="s">
        <v>33</v>
      </c>
      <c r="P84" s="340">
        <f>36348.16+38260.69+4669.57+3821.63</f>
        <v>83100.05000000002</v>
      </c>
      <c r="Q84" s="344">
        <f>516600+51600</f>
        <v>568200</v>
      </c>
      <c r="R84" s="342">
        <f t="shared" si="20"/>
        <v>0.14625140795494548</v>
      </c>
      <c r="T84" s="372" t="s">
        <v>33</v>
      </c>
      <c r="U84" s="373">
        <f>34921.49+50162.22+6110.81+4935</f>
        <v>96129.51999999999</v>
      </c>
      <c r="V84" s="377">
        <f>487900+48000</f>
        <v>535900</v>
      </c>
      <c r="W84" s="375">
        <f t="shared" si="21"/>
        <v>0.17937958574360885</v>
      </c>
      <c r="Y84" s="396" t="s">
        <v>33</v>
      </c>
      <c r="Z84" s="397">
        <f>32032.83+73933.13+4795.37+8675.25</f>
        <v>119436.58</v>
      </c>
      <c r="AA84" s="401">
        <f>458500+53800</f>
        <v>512300</v>
      </c>
      <c r="AB84" s="399">
        <f t="shared" si="22"/>
        <v>0.23313796603552606</v>
      </c>
    </row>
    <row r="85" spans="1:28" ht="12.75">
      <c r="A85" s="7">
        <v>41953</v>
      </c>
      <c r="B85" s="7">
        <v>41983</v>
      </c>
      <c r="C85" s="3">
        <v>467800</v>
      </c>
      <c r="D85" s="3">
        <f t="shared" si="8"/>
        <v>6740800</v>
      </c>
      <c r="E85" s="3">
        <f>pumpage!CC43</f>
        <v>7257580.645161291</v>
      </c>
      <c r="F85" s="9">
        <f>pumpage!CC42*10^-6</f>
        <v>224.98499999999999</v>
      </c>
      <c r="G85" s="3">
        <f t="shared" si="18"/>
        <v>2079.2497277596285</v>
      </c>
      <c r="H85" s="14">
        <f>(G85-H2)/H2</f>
        <v>0.311002350415907</v>
      </c>
      <c r="J85" s="314" t="s">
        <v>34</v>
      </c>
      <c r="K85" s="315">
        <f>38006.86+4771.04+43748.22+3904.24</f>
        <v>90430.36</v>
      </c>
      <c r="L85" s="319">
        <f>589400+52600</f>
        <v>642000</v>
      </c>
      <c r="M85" s="317">
        <f t="shared" si="19"/>
        <v>0.1408572585669782</v>
      </c>
      <c r="O85" s="339" t="s">
        <v>34</v>
      </c>
      <c r="P85" s="340">
        <f>37029.66+39349.41+6034.67+4843.69</f>
        <v>87257.43000000001</v>
      </c>
      <c r="Q85" s="344">
        <f>531300+65400</f>
        <v>596700</v>
      </c>
      <c r="R85" s="342">
        <f t="shared" si="20"/>
        <v>0.14623333333333335</v>
      </c>
      <c r="T85" s="372" t="s">
        <v>34</v>
      </c>
      <c r="U85" s="373">
        <f>38743.1+57646.97+5873.71+6662.25</f>
        <v>108926.03000000001</v>
      </c>
      <c r="V85" s="377">
        <f>560700+64800</f>
        <v>625500</v>
      </c>
      <c r="W85" s="375">
        <f t="shared" si="21"/>
        <v>0.17414233413269387</v>
      </c>
      <c r="Y85" s="396" t="s">
        <v>34</v>
      </c>
      <c r="Z85" s="397">
        <f>35555.13+82285.88+5085.28+9610.5</f>
        <v>132536.79</v>
      </c>
      <c r="AA85" s="401">
        <f>510300+59600</f>
        <v>569900</v>
      </c>
      <c r="AB85" s="399">
        <f t="shared" si="22"/>
        <v>0.23256148447095984</v>
      </c>
    </row>
    <row r="86" spans="1:28" ht="12.75">
      <c r="A86" s="7">
        <v>41984</v>
      </c>
      <c r="B86" s="7">
        <v>42016</v>
      </c>
      <c r="C86" s="3">
        <v>465600</v>
      </c>
      <c r="D86" s="3">
        <f t="shared" si="8"/>
        <v>6599300</v>
      </c>
      <c r="E86" s="3">
        <f>pumpage!CD43</f>
        <v>7148000</v>
      </c>
      <c r="F86" s="9">
        <f>pumpage!CD42*10^-6</f>
        <v>235.884</v>
      </c>
      <c r="G86" s="3">
        <f t="shared" si="18"/>
        <v>1973.8515541537367</v>
      </c>
      <c r="H86" s="14">
        <f>(G86-H2)/H2</f>
        <v>0.24454700766313792</v>
      </c>
      <c r="I86" s="15" t="s">
        <v>127</v>
      </c>
      <c r="J86" s="314" t="s">
        <v>35</v>
      </c>
      <c r="K86" s="315">
        <f>38077.55+6519.18+39695.53+6650.56</f>
        <v>90942.82</v>
      </c>
      <c r="L86" s="319">
        <f>534800+89600</f>
        <v>624400</v>
      </c>
      <c r="M86" s="317">
        <f t="shared" si="19"/>
        <v>0.14564833440102498</v>
      </c>
      <c r="O86" s="339" t="s">
        <v>35</v>
      </c>
      <c r="P86" s="340">
        <f>37228.79+39556.78+7948.72+6813.75</f>
        <v>91548.04000000001</v>
      </c>
      <c r="Q86" s="344">
        <f>534100+92000</f>
        <v>626100</v>
      </c>
      <c r="R86" s="342">
        <f t="shared" si="20"/>
        <v>0.14621951764893787</v>
      </c>
      <c r="T86" s="372" t="s">
        <v>35</v>
      </c>
      <c r="U86" s="373">
        <f>40664.47+59806.03+6269.35+7587.56</f>
        <v>114327.41</v>
      </c>
      <c r="V86" s="377">
        <f>581700+73800</f>
        <v>655500</v>
      </c>
      <c r="W86" s="375">
        <f t="shared" si="21"/>
        <v>0.17441252479023647</v>
      </c>
      <c r="Y86" s="396" t="s">
        <v>35</v>
      </c>
      <c r="Z86" s="397">
        <f>42878.92+99104.25+1786.62+5543.82+10610.25+230.99</f>
        <v>160154.84999999998</v>
      </c>
      <c r="AA86" s="401">
        <f>614600+65800</f>
        <v>680400</v>
      </c>
      <c r="AB86" s="399">
        <f t="shared" si="22"/>
        <v>0.23538337742504406</v>
      </c>
    </row>
    <row r="87" spans="1:28" ht="12.75">
      <c r="A87" s="7">
        <v>42017</v>
      </c>
      <c r="B87" s="7">
        <v>42046</v>
      </c>
      <c r="C87" s="3">
        <v>453300</v>
      </c>
      <c r="D87" s="3">
        <f t="shared" si="8"/>
        <v>6530600</v>
      </c>
      <c r="E87" s="3">
        <f>pumpage!CE43</f>
        <v>7354600</v>
      </c>
      <c r="F87" s="9">
        <f>pumpage!CE42*10^-6</f>
        <v>220.63799999999998</v>
      </c>
      <c r="G87" s="3">
        <f aca="true" t="shared" si="23" ref="G87:G96">C87/F87</f>
        <v>2054.4965055883395</v>
      </c>
      <c r="H87" s="14">
        <f>(G87-H2)/H2</f>
        <v>0.2953950224390539</v>
      </c>
      <c r="J87" s="314" t="s">
        <v>36</v>
      </c>
      <c r="K87" s="315">
        <f>36240.03+38004.39+6797.64+6724.79</f>
        <v>87766.84999999999</v>
      </c>
      <c r="L87" s="319">
        <f>511700+90600</f>
        <v>602300</v>
      </c>
      <c r="M87" s="317">
        <f t="shared" si="19"/>
        <v>0.14571949194753445</v>
      </c>
      <c r="O87" s="339" t="s">
        <v>36</v>
      </c>
      <c r="P87" s="340">
        <f>37104.06+36498+6359.12+5850.94</f>
        <v>85812.12</v>
      </c>
      <c r="Q87" s="344">
        <f>492800+79000</f>
        <v>571800</v>
      </c>
      <c r="R87" s="342">
        <f t="shared" si="20"/>
        <v>0.15007366211962223</v>
      </c>
      <c r="T87" s="372" t="s">
        <v>36</v>
      </c>
      <c r="U87" s="373">
        <f>38894.87+56135.63+6877.99+9191.44</f>
        <v>111099.93000000001</v>
      </c>
      <c r="V87" s="377">
        <f>546000+89400</f>
        <v>635400</v>
      </c>
      <c r="W87" s="375">
        <f t="shared" si="21"/>
        <v>0.1748503777148253</v>
      </c>
      <c r="Y87" s="396" t="s">
        <v>36</v>
      </c>
      <c r="Z87" s="397">
        <f>35181.72+68966.63+1465.91+6640.27+12448.5+276.68</f>
        <v>124979.71</v>
      </c>
      <c r="AA87" s="401">
        <f>427700+77200</f>
        <v>504900</v>
      </c>
      <c r="AB87" s="399">
        <f t="shared" si="22"/>
        <v>0.2475335908100614</v>
      </c>
    </row>
    <row r="88" spans="1:28" ht="12.75">
      <c r="A88" s="7">
        <v>42047</v>
      </c>
      <c r="B88" s="7">
        <v>42075</v>
      </c>
      <c r="C88" s="3">
        <v>473100</v>
      </c>
      <c r="D88" s="220">
        <f aca="true" t="shared" si="24" ref="D88:D101">SUM(C77:C88)</f>
        <v>6466800</v>
      </c>
      <c r="E88" s="3">
        <f>pumpage!CF43</f>
        <v>7972862.068965517</v>
      </c>
      <c r="F88" s="9">
        <f>pumpage!CF42*10^-6</f>
        <v>231.213</v>
      </c>
      <c r="G88" s="3">
        <f t="shared" si="23"/>
        <v>2046.1652242737216</v>
      </c>
      <c r="H88" s="14">
        <f>(G88-H2)/H2</f>
        <v>0.2901420077387904</v>
      </c>
      <c r="J88" s="314" t="s">
        <v>37</v>
      </c>
      <c r="K88" s="315">
        <f>33568.87+33949.2+6983.82+6951.75</f>
        <v>81453.64000000001</v>
      </c>
      <c r="L88" s="319">
        <f>457100+93600</f>
        <v>550700</v>
      </c>
      <c r="M88" s="317">
        <f t="shared" si="19"/>
        <v>0.14790927909932816</v>
      </c>
      <c r="O88" s="339" t="s">
        <v>37</v>
      </c>
      <c r="P88" s="340">
        <f>33027.56+34994.53+6823.47+6621.19</f>
        <v>81466.75</v>
      </c>
      <c r="Q88" s="344">
        <f>472500+89400</f>
        <v>561900</v>
      </c>
      <c r="R88" s="342">
        <f t="shared" si="20"/>
        <v>0.14498442783413418</v>
      </c>
      <c r="T88" s="372" t="s">
        <v>37</v>
      </c>
      <c r="U88" s="373">
        <f>36053.61+52753.09+7245.99+10075.63</f>
        <v>106128.32</v>
      </c>
      <c r="V88" s="377">
        <f>513100+98000</f>
        <v>611100</v>
      </c>
      <c r="W88" s="375">
        <f t="shared" si="21"/>
        <v>0.17366768123056783</v>
      </c>
      <c r="Y88" s="396" t="s">
        <v>37</v>
      </c>
      <c r="Z88" s="397">
        <f>35533.59+76755+1480.57+6497.99+13093.5+270.75</f>
        <v>133631.40000000002</v>
      </c>
      <c r="AA88" s="401">
        <f>476000+81200</f>
        <v>557200</v>
      </c>
      <c r="AB88" s="399">
        <f t="shared" si="22"/>
        <v>0.2398266331658292</v>
      </c>
    </row>
    <row r="89" spans="1:28" ht="12.75">
      <c r="A89" s="7">
        <v>42076</v>
      </c>
      <c r="B89" s="7">
        <v>42107</v>
      </c>
      <c r="C89" s="3">
        <v>504500</v>
      </c>
      <c r="D89" s="3">
        <f t="shared" si="24"/>
        <v>6457100</v>
      </c>
      <c r="E89" s="3">
        <f>pumpage!CG43</f>
        <v>8073000</v>
      </c>
      <c r="F89" s="9">
        <f>pumpage!CG42*10^-6</f>
        <v>258.336</v>
      </c>
      <c r="G89" s="3">
        <f t="shared" si="23"/>
        <v>1952.8830670135017</v>
      </c>
      <c r="H89" s="14">
        <f>(G89-H2)/H2</f>
        <v>0.23132601955454077</v>
      </c>
      <c r="J89" s="314" t="s">
        <v>38</v>
      </c>
      <c r="K89" s="315">
        <f>32757.7+33065.38+6668.62+6417</f>
        <v>78908.7</v>
      </c>
      <c r="L89" s="319">
        <f>445200+86400</f>
        <v>531600</v>
      </c>
      <c r="M89" s="317">
        <f t="shared" si="19"/>
        <v>0.148436230248307</v>
      </c>
      <c r="O89" s="339" t="s">
        <v>38</v>
      </c>
      <c r="P89" s="340">
        <f>27972.19+27477.19+5744.83+4962.19</f>
        <v>66156.4</v>
      </c>
      <c r="Q89" s="344">
        <f>371000+67000</f>
        <v>438000</v>
      </c>
      <c r="R89" s="342">
        <f t="shared" si="20"/>
        <v>0.15104200913242008</v>
      </c>
      <c r="T89" s="372" t="s">
        <v>38</v>
      </c>
      <c r="U89" s="373">
        <f>26707.77+35336.66+6014.19+7135.19</f>
        <v>75193.81000000001</v>
      </c>
      <c r="V89" s="377">
        <f>343700+69400</f>
        <v>413100</v>
      </c>
      <c r="W89" s="375">
        <f t="shared" si="21"/>
        <v>0.1820232631324135</v>
      </c>
      <c r="Y89" s="396" t="s">
        <v>38</v>
      </c>
      <c r="Z89" s="397">
        <f>28717.43+59598+1196.56+6119.7+11610+254.99</f>
        <v>107496.68</v>
      </c>
      <c r="AA89" s="401">
        <f>369600+72000</f>
        <v>441600</v>
      </c>
      <c r="AB89" s="399">
        <f t="shared" si="22"/>
        <v>0.24342545289855072</v>
      </c>
    </row>
    <row r="90" spans="1:28" ht="12.75">
      <c r="A90" s="7">
        <v>42108</v>
      </c>
      <c r="B90" s="7">
        <v>42135</v>
      </c>
      <c r="C90" s="3">
        <v>478700</v>
      </c>
      <c r="D90" s="3">
        <f t="shared" si="24"/>
        <v>6384800</v>
      </c>
      <c r="E90" s="3">
        <f>pumpage!CH43</f>
        <v>9066714.285714285</v>
      </c>
      <c r="F90" s="9">
        <f>pumpage!CH42*10^-6</f>
        <v>253.868</v>
      </c>
      <c r="G90" s="3">
        <f t="shared" si="23"/>
        <v>1885.6256007058787</v>
      </c>
      <c r="H90" s="14">
        <f>(G90-H2)/H2</f>
        <v>0.1889190420591921</v>
      </c>
      <c r="I90" s="15" t="s">
        <v>127</v>
      </c>
      <c r="J90" s="314" t="s">
        <v>39</v>
      </c>
      <c r="K90" s="315">
        <f>31415.75+33897.21+5770+5094.98</f>
        <v>76177.93999999999</v>
      </c>
      <c r="L90" s="319">
        <f>456400+68600</f>
        <v>525000</v>
      </c>
      <c r="M90" s="317">
        <f t="shared" si="19"/>
        <v>0.14510083809523808</v>
      </c>
      <c r="O90" s="339" t="s">
        <v>39</v>
      </c>
      <c r="P90" s="340">
        <f>30384.62+43757+5357.95+4340.06</f>
        <v>83839.62999999999</v>
      </c>
      <c r="Q90" s="344">
        <f>425600+58600</f>
        <v>484200</v>
      </c>
      <c r="R90" s="342">
        <f t="shared" si="20"/>
        <v>0.1731508261049153</v>
      </c>
      <c r="T90" s="372" t="s">
        <v>39</v>
      </c>
      <c r="U90" s="373">
        <f>27600.03+38719.2+5333.99+5654.69</f>
        <v>77307.91</v>
      </c>
      <c r="V90" s="377">
        <f>376600+55000</f>
        <v>431600</v>
      </c>
      <c r="W90" s="375">
        <f t="shared" si="21"/>
        <v>0.1791193466172382</v>
      </c>
      <c r="Y90" s="396" t="s">
        <v>39</v>
      </c>
      <c r="Z90" s="397">
        <f>29570.27+43198.47+1232.09+4853.91+9481.5+202.25</f>
        <v>88538.49</v>
      </c>
      <c r="AA90" s="401">
        <f>401100+58800</f>
        <v>459900</v>
      </c>
      <c r="AB90" s="399">
        <f t="shared" si="22"/>
        <v>0.1925168297455969</v>
      </c>
    </row>
    <row r="91" spans="1:28" ht="12.75">
      <c r="A91" s="7">
        <v>42136</v>
      </c>
      <c r="B91" s="7">
        <v>42165</v>
      </c>
      <c r="C91" s="3">
        <v>675700</v>
      </c>
      <c r="D91" s="3">
        <f t="shared" si="24"/>
        <v>6487500</v>
      </c>
      <c r="E91" s="3">
        <f>pumpage!CI43</f>
        <v>12616933.333333334</v>
      </c>
      <c r="F91" s="9">
        <f>pumpage!CI42*10^-6</f>
        <v>378.508</v>
      </c>
      <c r="G91" s="3">
        <f t="shared" si="23"/>
        <v>1785.167024210849</v>
      </c>
      <c r="H91" s="14">
        <f>(G91-H2)/H2</f>
        <v>0.12557819937632342</v>
      </c>
      <c r="J91" s="314" t="s">
        <v>40</v>
      </c>
      <c r="K91" s="320">
        <f>31381.52+33491.06+5510.71+4693.92</f>
        <v>75077.21</v>
      </c>
      <c r="L91" s="319">
        <f>452200+63200</f>
        <v>515400</v>
      </c>
      <c r="M91" s="317">
        <f t="shared" si="19"/>
        <v>0.1456678502134265</v>
      </c>
      <c r="O91" s="339" t="s">
        <v>40</v>
      </c>
      <c r="P91" s="345">
        <f>29389.75+42605.5+5606.82+6600.56</f>
        <v>84202.63</v>
      </c>
      <c r="Q91" s="344">
        <f>414400+64200</f>
        <v>478600</v>
      </c>
      <c r="R91" s="342">
        <f t="shared" si="20"/>
        <v>0.17593529043042208</v>
      </c>
      <c r="T91" s="372" t="s">
        <v>40</v>
      </c>
      <c r="U91" s="378">
        <f>28414.02+66144.75+5305.71+8772</f>
        <v>108636.48000000001</v>
      </c>
      <c r="V91" s="377">
        <f>410200+54400</f>
        <v>464600</v>
      </c>
      <c r="W91" s="375">
        <f t="shared" si="21"/>
        <v>0.23382798105897548</v>
      </c>
      <c r="Y91" s="396" t="s">
        <v>40</v>
      </c>
      <c r="Z91" s="402"/>
      <c r="AA91" s="401"/>
      <c r="AB91" s="399" t="e">
        <f t="shared" si="22"/>
        <v>#DIV/0!</v>
      </c>
    </row>
    <row r="92" spans="1:28" ht="12.75">
      <c r="A92" s="7">
        <v>42166</v>
      </c>
      <c r="B92" s="7">
        <v>42197</v>
      </c>
      <c r="C92" s="3">
        <v>630500</v>
      </c>
      <c r="D92" s="3">
        <f t="shared" si="24"/>
        <v>6442800</v>
      </c>
      <c r="E92" s="3">
        <f>pumpage!CJ43</f>
        <v>11280187.5</v>
      </c>
      <c r="F92" s="9">
        <f>pumpage!CJ42*10^-6</f>
        <v>360.966</v>
      </c>
      <c r="G92" s="3">
        <f t="shared" si="23"/>
        <v>1746.7019054426178</v>
      </c>
      <c r="H92" s="14">
        <f>(G92-H2)/H2</f>
        <v>0.10132528716432394</v>
      </c>
      <c r="I92" s="15" t="s">
        <v>127</v>
      </c>
      <c r="J92" s="314" t="s">
        <v>41</v>
      </c>
      <c r="K92" s="320">
        <f>26948.78+29032.5+5264.88+4280.81</f>
        <v>65526.969999999994</v>
      </c>
      <c r="L92" s="319">
        <f>392000+57800</f>
        <v>449800</v>
      </c>
      <c r="M92" s="317">
        <f t="shared" si="19"/>
        <v>0.14568023566029345</v>
      </c>
      <c r="O92" s="339" t="s">
        <v>41</v>
      </c>
      <c r="P92" s="345">
        <f>26451.15+37639.66+4975.75+5140.63</f>
        <v>74207.19</v>
      </c>
      <c r="Q92" s="344">
        <f>366100+50000</f>
        <v>416100</v>
      </c>
      <c r="R92" s="342">
        <f t="shared" si="20"/>
        <v>0.17833979812545062</v>
      </c>
      <c r="T92" s="372" t="s">
        <v>41</v>
      </c>
      <c r="U92" s="378">
        <f>22909.24+63322.86+5027.31+7707.75</f>
        <v>98967.16</v>
      </c>
      <c r="V92" s="377">
        <f>392700+47800</f>
        <v>440500</v>
      </c>
      <c r="W92" s="375">
        <f t="shared" si="21"/>
        <v>0.224670056753689</v>
      </c>
      <c r="Y92" s="396" t="s">
        <v>41</v>
      </c>
      <c r="Z92" s="402"/>
      <c r="AA92" s="401"/>
      <c r="AB92" s="399" t="e">
        <f t="shared" si="22"/>
        <v>#DIV/0!</v>
      </c>
    </row>
    <row r="93" spans="1:28" ht="12.75">
      <c r="A93" s="7">
        <v>42198</v>
      </c>
      <c r="B93" s="7">
        <v>42227</v>
      </c>
      <c r="C93" s="3">
        <v>598000</v>
      </c>
      <c r="D93" s="3">
        <f t="shared" si="24"/>
        <v>6440500</v>
      </c>
      <c r="E93" s="3">
        <f>pumpage!CK43</f>
        <v>11491400</v>
      </c>
      <c r="F93" s="9">
        <f>pumpage!CK42*10^-6</f>
        <v>344.74199999999996</v>
      </c>
      <c r="G93" s="3">
        <f t="shared" si="23"/>
        <v>1734.6305352988613</v>
      </c>
      <c r="H93" s="14">
        <f>(G93-H2)/H2</f>
        <v>0.0937140827861673</v>
      </c>
      <c r="J93" s="314" t="s">
        <v>42</v>
      </c>
      <c r="K93" s="320">
        <f>27462.5+28358.53+4991.05+4103.06</f>
        <v>64915.14</v>
      </c>
      <c r="L93" s="319">
        <f>382900+55400</f>
        <v>438300</v>
      </c>
      <c r="M93" s="317">
        <f t="shared" si="19"/>
        <v>0.1481066392881588</v>
      </c>
      <c r="O93" s="339" t="s">
        <v>42</v>
      </c>
      <c r="P93" s="345">
        <f>26273.51+36488.16+5860.81+5305.13</f>
        <v>73927.61</v>
      </c>
      <c r="Q93" s="344">
        <f>354900+51600</f>
        <v>406500</v>
      </c>
      <c r="R93" s="342">
        <f t="shared" si="20"/>
        <v>0.18186373923739238</v>
      </c>
      <c r="T93" s="372" t="s">
        <v>42</v>
      </c>
      <c r="U93" s="378">
        <f>21590.87+58356.38+4551.09+8965.5</f>
        <v>93463.84</v>
      </c>
      <c r="V93" s="377">
        <f>361900+55600</f>
        <v>417500</v>
      </c>
      <c r="W93" s="375">
        <f t="shared" si="21"/>
        <v>0.2238654850299401</v>
      </c>
      <c r="Y93" s="396" t="s">
        <v>42</v>
      </c>
      <c r="Z93" s="402"/>
      <c r="AA93" s="401"/>
      <c r="AB93" s="399" t="e">
        <f t="shared" si="22"/>
        <v>#DIV/0!</v>
      </c>
    </row>
    <row r="94" spans="1:28" ht="12.75">
      <c r="A94" s="7">
        <v>42228</v>
      </c>
      <c r="B94" s="7">
        <v>42257</v>
      </c>
      <c r="C94" s="3">
        <v>589000</v>
      </c>
      <c r="D94" s="3">
        <f t="shared" si="24"/>
        <v>6446800</v>
      </c>
      <c r="E94" s="3">
        <f>pumpage!CL43</f>
        <v>10912400</v>
      </c>
      <c r="F94" s="9">
        <f>pumpage!CL42*10^-6</f>
        <v>327.37199999999996</v>
      </c>
      <c r="G94" s="3">
        <f t="shared" si="23"/>
        <v>1799.1764720257079</v>
      </c>
      <c r="H94" s="14">
        <f>(G94-H2)/H2</f>
        <v>0.13441139471986627</v>
      </c>
      <c r="J94" s="311"/>
      <c r="K94" s="315"/>
      <c r="L94" s="319"/>
      <c r="M94" s="313"/>
      <c r="O94" s="336"/>
      <c r="P94" s="340"/>
      <c r="Q94" s="344"/>
      <c r="R94" s="338"/>
      <c r="T94" s="369"/>
      <c r="U94" s="373"/>
      <c r="V94" s="377"/>
      <c r="W94" s="371"/>
      <c r="Y94" s="393"/>
      <c r="Z94" s="397"/>
      <c r="AA94" s="401"/>
      <c r="AB94" s="395"/>
    </row>
    <row r="95" spans="1:28" ht="12.75">
      <c r="A95" s="7">
        <v>42258</v>
      </c>
      <c r="B95" s="7">
        <v>42285</v>
      </c>
      <c r="C95" s="3">
        <v>448100</v>
      </c>
      <c r="D95" s="3">
        <f t="shared" si="24"/>
        <v>6317600</v>
      </c>
      <c r="E95" s="3">
        <f>pumpage!CM43</f>
        <v>8920214.285714285</v>
      </c>
      <c r="F95" s="9">
        <f>pumpage!CM42*10^-6</f>
        <v>249.766</v>
      </c>
      <c r="G95" s="3">
        <f t="shared" si="23"/>
        <v>1794.079258185662</v>
      </c>
      <c r="H95" s="14">
        <f>(G95-H2)/H2</f>
        <v>0.13119751461895457</v>
      </c>
      <c r="J95" s="321" t="s">
        <v>43</v>
      </c>
      <c r="K95" s="322"/>
      <c r="L95" s="323"/>
      <c r="M95" s="324">
        <f>AVERAGE(M82:M93)</f>
        <v>0.14568420357670556</v>
      </c>
      <c r="O95" s="346" t="s">
        <v>43</v>
      </c>
      <c r="P95" s="347"/>
      <c r="Q95" s="348"/>
      <c r="R95" s="349">
        <f>AVERAGE(R82:R93)</f>
        <v>0.1576746111677003</v>
      </c>
      <c r="T95" s="379" t="s">
        <v>43</v>
      </c>
      <c r="U95" s="380"/>
      <c r="V95" s="381"/>
      <c r="W95" s="382">
        <f>AVERAGE(W82:W93)</f>
        <v>0.19026783717662943</v>
      </c>
      <c r="Y95" s="403" t="s">
        <v>43</v>
      </c>
      <c r="Z95" s="404"/>
      <c r="AA95" s="405"/>
      <c r="AB95" s="406" t="e">
        <f>AVERAGE(AB82:AB93)</f>
        <v>#DIV/0!</v>
      </c>
    </row>
    <row r="96" spans="1:8" ht="12.75">
      <c r="A96" s="7">
        <v>42286</v>
      </c>
      <c r="B96" s="7">
        <v>42316</v>
      </c>
      <c r="C96" s="3">
        <v>454300</v>
      </c>
      <c r="D96" s="3">
        <f t="shared" si="24"/>
        <v>6238600</v>
      </c>
      <c r="E96" s="3">
        <f>pumpage!CN43</f>
        <v>7995096.774193549</v>
      </c>
      <c r="F96" s="9">
        <f>pumpage!CN42*10^-6</f>
        <v>247.84799999999998</v>
      </c>
      <c r="G96" s="3">
        <f t="shared" si="23"/>
        <v>1832.9782770084892</v>
      </c>
      <c r="H96" s="14">
        <f>(G96-H2)/H2</f>
        <v>0.15572400820207388</v>
      </c>
    </row>
    <row r="97" spans="1:8" ht="12.75">
      <c r="A97" s="7">
        <v>42317</v>
      </c>
      <c r="B97" s="7">
        <v>42347</v>
      </c>
      <c r="C97" s="3">
        <v>426600</v>
      </c>
      <c r="D97" s="3">
        <f t="shared" si="24"/>
        <v>6197400</v>
      </c>
      <c r="E97" s="3">
        <f>pumpage!CO43</f>
        <v>7250419.354838709</v>
      </c>
      <c r="F97" s="9">
        <f>pumpage!CO42*10^-6</f>
        <v>224.76299999999998</v>
      </c>
      <c r="G97" s="3">
        <f aca="true" t="shared" si="25" ref="G97:G160">C97/F97</f>
        <v>1897.9992258512302</v>
      </c>
      <c r="H97" s="14">
        <f>(G97-H2)/H2</f>
        <v>0.1967208233614314</v>
      </c>
    </row>
    <row r="98" spans="1:8" ht="12.75">
      <c r="A98" s="7">
        <v>42348</v>
      </c>
      <c r="B98" s="7">
        <v>42380</v>
      </c>
      <c r="C98" s="3">
        <v>449600</v>
      </c>
      <c r="D98" s="3">
        <f t="shared" si="24"/>
        <v>6181400</v>
      </c>
      <c r="E98" s="3">
        <f>pumpage!CP43</f>
        <v>7028757.575757576</v>
      </c>
      <c r="F98" s="9">
        <f>pumpage!CP42*10^-6</f>
        <v>231.94899999999998</v>
      </c>
      <c r="G98" s="3">
        <f t="shared" si="25"/>
        <v>1938.3571388537998</v>
      </c>
      <c r="H98" s="14">
        <f>(G98-H2)/H2</f>
        <v>0.22216717456103394</v>
      </c>
    </row>
    <row r="99" spans="1:26" ht="12.75">
      <c r="A99" s="7">
        <v>42381</v>
      </c>
      <c r="B99" s="7">
        <v>42408</v>
      </c>
      <c r="C99" s="3">
        <v>417200</v>
      </c>
      <c r="D99" s="3">
        <f t="shared" si="24"/>
        <v>6145300</v>
      </c>
      <c r="E99" s="3">
        <f>pumpage!CQ43</f>
        <v>6970000</v>
      </c>
      <c r="F99" s="9">
        <f>pumpage!CQ42*10^-6</f>
        <v>195.16</v>
      </c>
      <c r="G99" s="3">
        <f t="shared" si="25"/>
        <v>2137.733142037303</v>
      </c>
      <c r="H99" s="14">
        <f>(G99-H2)/H2</f>
        <v>0.34787713873726545</v>
      </c>
      <c r="J99" s="325" t="s">
        <v>44</v>
      </c>
      <c r="K99" s="326" t="s">
        <v>46</v>
      </c>
      <c r="O99" s="350" t="s">
        <v>44</v>
      </c>
      <c r="P99" s="351" t="s">
        <v>46</v>
      </c>
      <c r="T99" s="383" t="s">
        <v>44</v>
      </c>
      <c r="U99" s="384" t="s">
        <v>46</v>
      </c>
      <c r="Y99" s="407" t="s">
        <v>44</v>
      </c>
      <c r="Z99" s="408" t="s">
        <v>46</v>
      </c>
    </row>
    <row r="100" spans="1:26" ht="12.75">
      <c r="A100" s="7">
        <v>42409</v>
      </c>
      <c r="B100" s="7">
        <v>42438</v>
      </c>
      <c r="C100" s="3">
        <v>414500</v>
      </c>
      <c r="D100" s="248">
        <f t="shared" si="24"/>
        <v>6086700</v>
      </c>
      <c r="E100" s="3">
        <f>pumpage!CR43</f>
        <v>7365833.333333333</v>
      </c>
      <c r="F100" s="9">
        <f>pumpage!CR42*10^-6</f>
        <v>220.975</v>
      </c>
      <c r="G100" s="3">
        <f t="shared" si="25"/>
        <v>1875.7778029188823</v>
      </c>
      <c r="H100" s="14">
        <f>(G100-H2)/H2</f>
        <v>0.18270983790597878</v>
      </c>
      <c r="J100" s="327" t="s">
        <v>45</v>
      </c>
      <c r="K100" s="328"/>
      <c r="O100" s="352" t="s">
        <v>45</v>
      </c>
      <c r="P100" s="353"/>
      <c r="T100" s="385" t="s">
        <v>45</v>
      </c>
      <c r="U100" s="386"/>
      <c r="Y100" s="409" t="s">
        <v>45</v>
      </c>
      <c r="Z100" s="410"/>
    </row>
    <row r="101" spans="1:26" ht="12.75">
      <c r="A101" s="7">
        <v>42439</v>
      </c>
      <c r="B101" s="7">
        <v>42472</v>
      </c>
      <c r="C101" s="3">
        <v>465700</v>
      </c>
      <c r="D101" s="3">
        <f t="shared" si="24"/>
        <v>6047900</v>
      </c>
      <c r="E101" s="3">
        <f>pumpage!CS43</f>
        <v>7308411.764705882</v>
      </c>
      <c r="F101" s="9">
        <f>pumpage!CS42*10^-6</f>
        <v>248.486</v>
      </c>
      <c r="G101" s="3">
        <f t="shared" si="25"/>
        <v>1874.1498515006883</v>
      </c>
      <c r="H101" s="14">
        <f>(G101-H2)/H2</f>
        <v>0.1816833868226282</v>
      </c>
      <c r="J101" s="329">
        <v>0</v>
      </c>
      <c r="K101" s="330">
        <f>J101*M95</f>
        <v>0</v>
      </c>
      <c r="O101" s="354">
        <v>0</v>
      </c>
      <c r="P101" s="355">
        <f>O101*R95</f>
        <v>0</v>
      </c>
      <c r="T101" s="387">
        <v>0</v>
      </c>
      <c r="U101" s="388">
        <f>T101*W95</f>
        <v>0</v>
      </c>
      <c r="Y101" s="411">
        <v>0</v>
      </c>
      <c r="Z101" s="412" t="e">
        <f>Y101*AB95</f>
        <v>#DIV/0!</v>
      </c>
    </row>
    <row r="102" spans="1:8" ht="12.75">
      <c r="A102" s="7">
        <v>42473</v>
      </c>
      <c r="B102" s="7">
        <v>42501</v>
      </c>
      <c r="C102" s="3">
        <v>463400</v>
      </c>
      <c r="D102" s="3">
        <f aca="true" t="shared" si="26" ref="D102:D165">SUM(C91:C102)</f>
        <v>6032600</v>
      </c>
      <c r="E102" s="3">
        <f>pumpage!CT43</f>
        <v>8485241.379310345</v>
      </c>
      <c r="F102" s="9">
        <f>pumpage!CT42*10^-6</f>
        <v>246.072</v>
      </c>
      <c r="G102" s="3">
        <f t="shared" si="25"/>
        <v>1883.1886602295262</v>
      </c>
      <c r="H102" s="14">
        <f>(G102-H2)/H2</f>
        <v>0.18738250960247557</v>
      </c>
    </row>
    <row r="103" spans="1:8" ht="12.75">
      <c r="A103" s="7">
        <v>42502</v>
      </c>
      <c r="B103" s="7">
        <v>42533</v>
      </c>
      <c r="C103" s="3">
        <v>560700</v>
      </c>
      <c r="D103" s="3">
        <f t="shared" si="26"/>
        <v>5917600</v>
      </c>
      <c r="E103" s="3">
        <f>pumpage!CU43</f>
        <v>9802687.5</v>
      </c>
      <c r="F103" s="9">
        <f>pumpage!CU42*10^-6</f>
        <v>313.686</v>
      </c>
      <c r="G103" s="3">
        <f t="shared" si="25"/>
        <v>1787.4562460549723</v>
      </c>
      <c r="H103" s="14">
        <f>(G103-H2)/H2</f>
        <v>0.12702159272066352</v>
      </c>
    </row>
    <row r="104" spans="1:8" ht="12.75">
      <c r="A104" s="7">
        <v>42534</v>
      </c>
      <c r="B104" s="7">
        <v>42563</v>
      </c>
      <c r="C104" s="3">
        <v>586700</v>
      </c>
      <c r="D104" s="3">
        <f t="shared" si="26"/>
        <v>5873800</v>
      </c>
      <c r="E104" s="3">
        <f>pumpage!CV43</f>
        <v>10795733.333333334</v>
      </c>
      <c r="F104" s="9">
        <f>pumpage!CV42*10^-6</f>
        <v>323.87199999999996</v>
      </c>
      <c r="G104" s="3">
        <f t="shared" si="25"/>
        <v>1811.5181306195043</v>
      </c>
      <c r="H104" s="14">
        <f>(G104-H2)/H2</f>
        <v>0.14219302056715277</v>
      </c>
    </row>
    <row r="105" spans="1:8" ht="12.75">
      <c r="A105" s="7">
        <v>42564</v>
      </c>
      <c r="B105" s="7">
        <v>42592</v>
      </c>
      <c r="C105" s="3">
        <v>593900</v>
      </c>
      <c r="D105" s="3">
        <f t="shared" si="26"/>
        <v>5869700</v>
      </c>
      <c r="E105" s="3">
        <f>pumpage!CW43</f>
        <v>11418724.137931034</v>
      </c>
      <c r="F105" s="9">
        <f>pumpage!CW42*10^-6</f>
        <v>331.143</v>
      </c>
      <c r="G105" s="3">
        <f t="shared" si="25"/>
        <v>1793.4849898684256</v>
      </c>
      <c r="H105" s="14">
        <f>(G105-H2)/H2</f>
        <v>0.1308228183281372</v>
      </c>
    </row>
    <row r="106" spans="1:9" ht="12.75">
      <c r="A106" s="7">
        <v>42593</v>
      </c>
      <c r="B106" s="7">
        <v>42625</v>
      </c>
      <c r="C106" s="3">
        <v>617800</v>
      </c>
      <c r="D106" s="3">
        <f t="shared" si="26"/>
        <v>5898500</v>
      </c>
      <c r="E106" s="3">
        <f>pumpage!CX43</f>
        <v>10191242.424242424</v>
      </c>
      <c r="F106" s="9">
        <f>pumpage!CX42*10^-6</f>
        <v>336.311</v>
      </c>
      <c r="G106" s="3">
        <f t="shared" si="25"/>
        <v>1836.9901668396217</v>
      </c>
      <c r="H106" s="14">
        <f>(G106-H2)/H2</f>
        <v>0.1582535730388535</v>
      </c>
      <c r="I106" s="15" t="s">
        <v>127</v>
      </c>
    </row>
    <row r="107" spans="1:9" ht="12.75">
      <c r="A107" s="7">
        <v>42626</v>
      </c>
      <c r="B107" s="7">
        <v>42654</v>
      </c>
      <c r="C107" s="3">
        <v>508900</v>
      </c>
      <c r="D107" s="3">
        <f t="shared" si="26"/>
        <v>5959300</v>
      </c>
      <c r="E107" s="3">
        <f>pumpage!CY43</f>
        <v>9612482.75862069</v>
      </c>
      <c r="F107" s="9">
        <f>pumpage!CY42*10^-6</f>
        <v>278.762</v>
      </c>
      <c r="G107" s="3">
        <f t="shared" si="25"/>
        <v>1825.5716345843407</v>
      </c>
      <c r="H107" s="14">
        <f>(G107-H2)/H2</f>
        <v>0.15105399406326653</v>
      </c>
      <c r="I107" s="15" t="s">
        <v>127</v>
      </c>
    </row>
    <row r="108" spans="1:9" ht="12.75">
      <c r="A108" s="7">
        <v>42655</v>
      </c>
      <c r="B108" s="7">
        <v>42681</v>
      </c>
      <c r="C108" s="3">
        <v>428500</v>
      </c>
      <c r="D108" s="3">
        <f t="shared" si="26"/>
        <v>5933500</v>
      </c>
      <c r="E108" s="3">
        <f>pumpage!CZ43</f>
        <v>8448037.037037037</v>
      </c>
      <c r="F108" s="9">
        <f>pumpage!CY42*10^-6</f>
        <v>278.762</v>
      </c>
      <c r="G108" s="3">
        <f t="shared" si="25"/>
        <v>1537.1535575150128</v>
      </c>
      <c r="H108" s="14">
        <f>(G108-H2)/H2</f>
        <v>-0.030798513546650166</v>
      </c>
      <c r="I108" s="15" t="s">
        <v>127</v>
      </c>
    </row>
    <row r="109" spans="1:9" ht="12.75">
      <c r="A109" s="7">
        <v>42682</v>
      </c>
      <c r="B109" s="7">
        <v>42715</v>
      </c>
      <c r="C109" s="3">
        <v>501300</v>
      </c>
      <c r="D109" s="3">
        <f t="shared" si="26"/>
        <v>6008200</v>
      </c>
      <c r="E109" s="3">
        <f>pumpage!DA43</f>
        <v>7466676.470588235</v>
      </c>
      <c r="F109" s="9">
        <f>pumpage!DA42*10^-6</f>
        <v>253.867</v>
      </c>
      <c r="G109" s="3">
        <f t="shared" si="25"/>
        <v>1974.6560206722418</v>
      </c>
      <c r="H109" s="14">
        <f>(G109-H2)/H2</f>
        <v>0.24505423749826089</v>
      </c>
      <c r="I109" s="15" t="s">
        <v>127</v>
      </c>
    </row>
    <row r="110" spans="1:9" ht="12.75">
      <c r="A110" s="7">
        <v>42716</v>
      </c>
      <c r="B110" s="7">
        <v>42745</v>
      </c>
      <c r="C110" s="3">
        <v>436300</v>
      </c>
      <c r="D110" s="3">
        <f t="shared" si="26"/>
        <v>5994900</v>
      </c>
      <c r="E110" s="3">
        <f>pumpage!DB43</f>
        <v>7404966.666666667</v>
      </c>
      <c r="F110" s="9">
        <f>pumpage!DB42*10^-6</f>
        <v>222.149</v>
      </c>
      <c r="G110" s="3">
        <f t="shared" si="25"/>
        <v>1963.9971370566602</v>
      </c>
      <c r="H110" s="14">
        <f>(G110-H2)/H2</f>
        <v>0.23833362992223217</v>
      </c>
      <c r="I110" s="15" t="s">
        <v>127</v>
      </c>
    </row>
    <row r="111" spans="1:8" ht="12.75">
      <c r="A111" s="7">
        <v>42746</v>
      </c>
      <c r="B111" s="7">
        <v>42774</v>
      </c>
      <c r="C111" s="3">
        <v>427600</v>
      </c>
      <c r="D111" s="3">
        <f t="shared" si="26"/>
        <v>6005300</v>
      </c>
      <c r="E111" s="3">
        <f>pumpage!DC43</f>
        <v>7373172.413793104</v>
      </c>
      <c r="F111" s="9">
        <f>pumpage!DC42*10^-6</f>
        <v>213.822</v>
      </c>
      <c r="G111" s="3">
        <f t="shared" si="25"/>
        <v>1999.7942213616934</v>
      </c>
      <c r="H111" s="14">
        <f>(G111-H2)/H2</f>
        <v>0.26090430098467426</v>
      </c>
    </row>
    <row r="112" spans="1:9" ht="12.75">
      <c r="A112" s="7">
        <v>42775</v>
      </c>
      <c r="B112" s="7">
        <v>42803</v>
      </c>
      <c r="C112" s="3">
        <v>405000</v>
      </c>
      <c r="D112" s="272">
        <f t="shared" si="26"/>
        <v>5995800</v>
      </c>
      <c r="E112" s="3">
        <f>pumpage!DD43</f>
        <v>7119758.620689655</v>
      </c>
      <c r="F112" s="9">
        <f>pumpage!DD42*10^-6</f>
        <v>206.47299999999998</v>
      </c>
      <c r="G112" s="3">
        <f t="shared" si="25"/>
        <v>1961.51554924857</v>
      </c>
      <c r="H112" s="14">
        <f>(G112-H2)/H2</f>
        <v>0.23676894656278064</v>
      </c>
      <c r="I112" s="15" t="s">
        <v>127</v>
      </c>
    </row>
    <row r="113" spans="1:8" ht="12.75">
      <c r="A113" s="7">
        <v>42804</v>
      </c>
      <c r="B113" s="7">
        <v>42834</v>
      </c>
      <c r="C113" s="3">
        <v>443500</v>
      </c>
      <c r="D113" s="3">
        <f t="shared" si="26"/>
        <v>5973600</v>
      </c>
      <c r="E113" s="3">
        <f>pumpage!DE43</f>
        <v>7021096.774193549</v>
      </c>
      <c r="F113" s="9">
        <f>pumpage!DE42*10^-6</f>
        <v>217.654</v>
      </c>
      <c r="G113" s="3">
        <f t="shared" si="25"/>
        <v>2037.637718580867</v>
      </c>
      <c r="H113" s="14">
        <f>(G113-H2)/H2</f>
        <v>0.28476527022753273</v>
      </c>
    </row>
    <row r="114" spans="1:9" ht="12.75">
      <c r="A114" s="7">
        <v>42835</v>
      </c>
      <c r="B114" s="7">
        <v>42864</v>
      </c>
      <c r="C114" s="3">
        <v>462300</v>
      </c>
      <c r="D114" s="3">
        <f t="shared" si="26"/>
        <v>5972500</v>
      </c>
      <c r="E114" s="3">
        <f>pumpage!DF43</f>
        <v>7623433.333333333</v>
      </c>
      <c r="F114" s="9">
        <f>pumpage!DF42*10^-6</f>
        <v>228.703</v>
      </c>
      <c r="G114" s="3">
        <f t="shared" si="25"/>
        <v>2021.3989322396296</v>
      </c>
      <c r="H114" s="14">
        <f>(G114-H2)/H2</f>
        <v>0.27452643899093926</v>
      </c>
      <c r="I114" s="15" t="s">
        <v>127</v>
      </c>
    </row>
    <row r="115" spans="1:8" ht="12.75">
      <c r="A115" s="7">
        <v>42865</v>
      </c>
      <c r="B115" s="7">
        <v>42897</v>
      </c>
      <c r="C115" s="3">
        <v>541200</v>
      </c>
      <c r="D115" s="3">
        <f t="shared" si="26"/>
        <v>5953000</v>
      </c>
      <c r="E115" s="3">
        <f>pumpage!DG43</f>
        <v>8381181.818181818</v>
      </c>
      <c r="F115" s="9">
        <f>pumpage!DG42*10^-6</f>
        <v>276.579</v>
      </c>
      <c r="G115" s="3">
        <f t="shared" si="25"/>
        <v>1956.7646133654398</v>
      </c>
      <c r="H115" s="14">
        <f>(G115-H2)/H2</f>
        <v>0.23377340060872623</v>
      </c>
    </row>
    <row r="116" spans="1:9" ht="12.75">
      <c r="A116" s="7">
        <v>42898</v>
      </c>
      <c r="B116" s="7">
        <v>42927</v>
      </c>
      <c r="C116" s="3">
        <v>542900</v>
      </c>
      <c r="D116" s="3">
        <f t="shared" si="26"/>
        <v>5909200</v>
      </c>
      <c r="E116" s="3">
        <f>pumpage!DH43</f>
        <v>9746633.333333334</v>
      </c>
      <c r="F116" s="9">
        <f>pumpage!DH42*10^-6</f>
        <v>292.399</v>
      </c>
      <c r="G116" s="3">
        <f t="shared" si="25"/>
        <v>1856.709496270507</v>
      </c>
      <c r="H116" s="14">
        <f>(G116-H2)/H2</f>
        <v>0.17068694594609526</v>
      </c>
      <c r="I116" s="15" t="s">
        <v>127</v>
      </c>
    </row>
    <row r="117" spans="1:9" ht="12.75">
      <c r="A117" s="7">
        <v>42928</v>
      </c>
      <c r="B117" s="7">
        <v>42956</v>
      </c>
      <c r="C117" s="3">
        <v>491000</v>
      </c>
      <c r="D117" s="3">
        <f t="shared" si="26"/>
        <v>5806300</v>
      </c>
      <c r="E117" s="3">
        <f>pumpage!DI43</f>
        <v>9735241.379310345</v>
      </c>
      <c r="F117" s="9">
        <f>pumpage!DI42*10^-6</f>
        <v>282.322</v>
      </c>
      <c r="G117" s="3">
        <f t="shared" si="25"/>
        <v>1739.1489150686095</v>
      </c>
      <c r="H117" s="14">
        <f>(G117-H2)/H2</f>
        <v>0.0965629981517084</v>
      </c>
      <c r="I117" s="15" t="s">
        <v>127</v>
      </c>
    </row>
    <row r="118" spans="1:8" ht="12.75">
      <c r="A118" s="7">
        <v>42957</v>
      </c>
      <c r="B118" s="7">
        <v>42989</v>
      </c>
      <c r="C118" s="3">
        <v>624900</v>
      </c>
      <c r="D118" s="195">
        <f t="shared" si="26"/>
        <v>5813400</v>
      </c>
      <c r="E118" s="3">
        <f>pumpage!DJ43</f>
        <v>10087666.666666666</v>
      </c>
      <c r="F118" s="9">
        <f>pumpage!DJ42*10^-6</f>
        <v>332.893</v>
      </c>
      <c r="G118" s="3">
        <f t="shared" si="25"/>
        <v>1877.1797544556362</v>
      </c>
      <c r="H118" s="14">
        <f>(G118-H2)/H2</f>
        <v>0.18359379221666844</v>
      </c>
    </row>
    <row r="119" spans="1:8" ht="12.75">
      <c r="A119" s="7">
        <v>42990</v>
      </c>
      <c r="B119" s="7">
        <v>43018</v>
      </c>
      <c r="C119" s="3">
        <v>512400</v>
      </c>
      <c r="D119" s="3">
        <f t="shared" si="26"/>
        <v>5816900</v>
      </c>
      <c r="E119" s="3">
        <f>pumpage!DK43</f>
        <v>9634758.620689655</v>
      </c>
      <c r="F119" s="9">
        <f>pumpage!DK42*10^-6</f>
        <v>279.408</v>
      </c>
      <c r="G119" s="3">
        <f t="shared" si="25"/>
        <v>1833.8773406631162</v>
      </c>
      <c r="H119" s="14">
        <f>(G119-H2)/H2</f>
        <v>0.15629088314193962</v>
      </c>
    </row>
    <row r="120" spans="1:9" ht="12.75">
      <c r="A120" s="7">
        <v>43019</v>
      </c>
      <c r="B120" s="7">
        <v>43047</v>
      </c>
      <c r="C120" s="3">
        <v>463900</v>
      </c>
      <c r="D120" s="3">
        <f t="shared" si="26"/>
        <v>5852300</v>
      </c>
      <c r="E120" s="3">
        <f>pumpage!DL43</f>
        <v>8106862.068965517</v>
      </c>
      <c r="F120" s="9">
        <f>pumpage!DL42*10^-6</f>
        <v>235.099</v>
      </c>
      <c r="G120" s="3">
        <f t="shared" si="25"/>
        <v>1973.2112854584666</v>
      </c>
      <c r="H120" s="14">
        <f>(G120-H2)/H2</f>
        <v>0.24414330735086165</v>
      </c>
      <c r="I120" s="15" t="s">
        <v>150</v>
      </c>
    </row>
    <row r="121" spans="1:8" ht="12.75">
      <c r="A121" s="7">
        <v>43048</v>
      </c>
      <c r="B121" s="7">
        <v>43079</v>
      </c>
      <c r="C121" s="3">
        <v>447100</v>
      </c>
      <c r="D121" s="3">
        <f t="shared" si="26"/>
        <v>5798100</v>
      </c>
      <c r="E121" s="3">
        <f>pumpage!DM43</f>
        <v>6984906.25</v>
      </c>
      <c r="F121" s="9">
        <f>pumpage!DM42*10^-6</f>
        <v>223.517</v>
      </c>
      <c r="G121" s="3">
        <f t="shared" si="25"/>
        <v>2000.2952795536805</v>
      </c>
      <c r="H121" s="14">
        <f>(G121-H2)/H2</f>
        <v>0.2612202267047166</v>
      </c>
    </row>
    <row r="122" spans="1:8" ht="12.75">
      <c r="A122" s="7">
        <v>43080</v>
      </c>
      <c r="B122" s="7">
        <v>43110</v>
      </c>
      <c r="C122" s="3">
        <v>461200</v>
      </c>
      <c r="D122" s="3">
        <f t="shared" si="26"/>
        <v>5823000</v>
      </c>
      <c r="E122" s="3">
        <f>pumpage!DN43</f>
        <v>7363354.838709678</v>
      </c>
      <c r="F122" s="9">
        <f>pumpage!DN42*10^-6</f>
        <v>228.26399999999998</v>
      </c>
      <c r="G122" s="3">
        <f t="shared" si="25"/>
        <v>2020.4675288262715</v>
      </c>
      <c r="H122" s="14">
        <f>(G122-H2)/H2</f>
        <v>0.27393917328264283</v>
      </c>
    </row>
    <row r="123" spans="1:8" ht="12.75">
      <c r="A123" s="7">
        <v>43111</v>
      </c>
      <c r="B123" s="7">
        <v>43138</v>
      </c>
      <c r="C123" s="3">
        <v>464800</v>
      </c>
      <c r="D123" s="3">
        <f t="shared" si="26"/>
        <v>5860200</v>
      </c>
      <c r="E123" s="3">
        <f>pumpage!DO43</f>
        <v>7601357.142857143</v>
      </c>
      <c r="F123" s="9">
        <f>pumpage!DO42*10^-6</f>
        <v>212.838</v>
      </c>
      <c r="G123" s="3">
        <f t="shared" si="25"/>
        <v>2183.8205583589397</v>
      </c>
      <c r="H123" s="14">
        <f>(G123-H2)/H2</f>
        <v>0.3769360393183731</v>
      </c>
    </row>
    <row r="124" spans="1:8" ht="12.75">
      <c r="A124" s="7">
        <v>43139</v>
      </c>
      <c r="B124" s="7">
        <v>43170</v>
      </c>
      <c r="C124" s="3">
        <v>440700</v>
      </c>
      <c r="D124" s="33">
        <f t="shared" si="26"/>
        <v>5895900</v>
      </c>
      <c r="E124" s="3">
        <f>pumpage!DP43</f>
        <v>6799031.25</v>
      </c>
      <c r="F124" s="9">
        <f>pumpage!DP42*10^-6</f>
        <v>217.569</v>
      </c>
      <c r="G124" s="3">
        <f t="shared" si="25"/>
        <v>2025.5643037381246</v>
      </c>
      <c r="H124" s="14">
        <f>(G124-H2)/H2</f>
        <v>0.27715277663185667</v>
      </c>
    </row>
    <row r="125" spans="1:8" ht="12.75">
      <c r="A125" s="7">
        <v>43171</v>
      </c>
      <c r="B125" s="7">
        <v>43199</v>
      </c>
      <c r="C125" s="3">
        <v>419100</v>
      </c>
      <c r="D125" s="3">
        <f t="shared" si="26"/>
        <v>5871500</v>
      </c>
      <c r="E125" s="3">
        <f>pumpage!DQ43</f>
        <v>6906344.827586207</v>
      </c>
      <c r="F125" s="9">
        <f>pumpage!DQ42*10^-6</f>
        <v>200.284</v>
      </c>
      <c r="G125" s="3">
        <f t="shared" si="25"/>
        <v>2092.528609374688</v>
      </c>
      <c r="H125" s="14">
        <f>(G125-H2)/H2</f>
        <v>0.3193749113333469</v>
      </c>
    </row>
    <row r="126" spans="1:8" ht="12.75">
      <c r="A126" s="7">
        <v>43200</v>
      </c>
      <c r="B126" s="7">
        <v>43228</v>
      </c>
      <c r="C126" s="275">
        <f>379400+62600</f>
        <v>442000</v>
      </c>
      <c r="D126" s="3">
        <f t="shared" si="26"/>
        <v>5851200</v>
      </c>
      <c r="E126" s="3">
        <f>pumpage!DR43</f>
        <v>7588068.9655172415</v>
      </c>
      <c r="F126" s="9">
        <f>pumpage!DR42*10^-6</f>
        <v>220.054</v>
      </c>
      <c r="G126" s="3">
        <f t="shared" si="25"/>
        <v>2008.597889608914</v>
      </c>
      <c r="H126" s="14">
        <f>(G126-H2)/H2</f>
        <v>0.2664551636878399</v>
      </c>
    </row>
    <row r="127" spans="1:8" ht="12.75">
      <c r="A127" s="7">
        <v>43229</v>
      </c>
      <c r="B127" s="7">
        <v>43262</v>
      </c>
      <c r="C127" s="195">
        <f>476700+64200</f>
        <v>540900</v>
      </c>
      <c r="D127" s="3">
        <f t="shared" si="26"/>
        <v>5850900</v>
      </c>
      <c r="E127" s="3">
        <f>pumpage!DS43</f>
        <v>8266176.470588235</v>
      </c>
      <c r="F127" s="9">
        <f>pumpage!DS42*10^-6</f>
        <v>281.05</v>
      </c>
      <c r="G127" s="3">
        <f t="shared" si="25"/>
        <v>1924.5685821028287</v>
      </c>
      <c r="H127" s="14">
        <f>(G127-H2)/H2</f>
        <v>0.21347325479371293</v>
      </c>
    </row>
    <row r="128" spans="1:8" ht="12.75">
      <c r="A128" s="7">
        <v>43263</v>
      </c>
      <c r="B128" s="7">
        <v>43291</v>
      </c>
      <c r="C128" s="195">
        <f>506100+76000</f>
        <v>582100</v>
      </c>
      <c r="D128" s="3">
        <f t="shared" si="26"/>
        <v>5890100</v>
      </c>
      <c r="E128" s="3">
        <f>pumpage!DT43</f>
        <v>10737827.586206896</v>
      </c>
      <c r="F128" s="9">
        <f>pumpage!DT42*10^-6</f>
        <v>311.397</v>
      </c>
      <c r="G128" s="3">
        <f t="shared" si="25"/>
        <v>1869.3179446173212</v>
      </c>
      <c r="H128" s="14">
        <f>(G128-H2)/H2</f>
        <v>0.17863678727447746</v>
      </c>
    </row>
    <row r="129" spans="1:8" ht="12.75">
      <c r="A129" s="7">
        <v>43292</v>
      </c>
      <c r="B129" s="7">
        <v>43320</v>
      </c>
      <c r="C129" s="3">
        <f>481600+90000</f>
        <v>571600</v>
      </c>
      <c r="D129" s="195">
        <f t="shared" si="26"/>
        <v>5970700</v>
      </c>
      <c r="E129" s="3">
        <f>pumpage!DU43</f>
        <v>10549000</v>
      </c>
      <c r="F129" s="9">
        <f>pumpage!DU42*10^-6</f>
        <v>305.921</v>
      </c>
      <c r="G129" s="3">
        <f t="shared" si="25"/>
        <v>1868.456235433331</v>
      </c>
      <c r="H129" s="14">
        <f>(G129-H2)/H2</f>
        <v>0.17809346496426917</v>
      </c>
    </row>
    <row r="130" spans="1:8" ht="12.75">
      <c r="A130" s="7">
        <v>43321</v>
      </c>
      <c r="B130" s="7">
        <v>43352</v>
      </c>
      <c r="C130" s="3">
        <f>511000+75200</f>
        <v>586200</v>
      </c>
      <c r="D130" s="3">
        <f t="shared" si="26"/>
        <v>5932000</v>
      </c>
      <c r="E130" s="3">
        <f>pumpage!DV43</f>
        <v>10790781.25</v>
      </c>
      <c r="F130" s="9">
        <f>pumpage!DV42*10^-6</f>
        <v>345.305</v>
      </c>
      <c r="G130" s="3">
        <f t="shared" si="25"/>
        <v>1697.6296317748076</v>
      </c>
      <c r="H130" s="14">
        <f>(G130-H2)/H2</f>
        <v>0.07038438321236296</v>
      </c>
    </row>
    <row r="131" spans="1:8" ht="12.75">
      <c r="A131" s="7">
        <v>43353</v>
      </c>
      <c r="B131" s="7">
        <v>43383</v>
      </c>
      <c r="C131" s="3">
        <f>430500+69000</f>
        <v>499500</v>
      </c>
      <c r="D131" s="3">
        <f t="shared" si="26"/>
        <v>5919100</v>
      </c>
      <c r="E131" s="3">
        <f>pumpage!DW43</f>
        <v>8718483.870967742</v>
      </c>
      <c r="F131" s="9">
        <f>pumpage!DW42*10^-6</f>
        <v>270.27299999999997</v>
      </c>
      <c r="G131" s="3">
        <f t="shared" si="25"/>
        <v>1848.131333873528</v>
      </c>
      <c r="H131" s="14">
        <f>(G131-H2)/H2</f>
        <v>0.1652782685205095</v>
      </c>
    </row>
    <row r="132" spans="1:8" ht="12.75">
      <c r="A132" s="7">
        <v>43384</v>
      </c>
      <c r="B132" s="7">
        <v>43410</v>
      </c>
      <c r="C132" s="3">
        <f>379400+65800</f>
        <v>445200</v>
      </c>
      <c r="D132" s="3">
        <f t="shared" si="26"/>
        <v>5900400</v>
      </c>
      <c r="E132" s="3">
        <f>pumpage!DX43</f>
        <v>8082185.185185186</v>
      </c>
      <c r="F132" s="9">
        <f>pumpage!DX42*10^-6</f>
        <v>218.219</v>
      </c>
      <c r="G132" s="3">
        <f t="shared" si="25"/>
        <v>2040.1523240414447</v>
      </c>
      <c r="H132" s="14">
        <f>(G132-H2)/H2</f>
        <v>0.2863507717789689</v>
      </c>
    </row>
    <row r="133" spans="1:8" ht="12.75">
      <c r="A133" s="7">
        <v>43411</v>
      </c>
      <c r="B133" s="7">
        <v>43443</v>
      </c>
      <c r="C133" s="3">
        <f>427700+59600</f>
        <v>487300</v>
      </c>
      <c r="D133" s="3">
        <f t="shared" si="26"/>
        <v>5940600</v>
      </c>
      <c r="E133" s="3">
        <f>pumpage!DY43</f>
        <v>7150424.242424242</v>
      </c>
      <c r="F133" s="9">
        <f>pumpage!DY42*10^-6</f>
        <v>235.964</v>
      </c>
      <c r="G133" s="3">
        <f t="shared" si="25"/>
        <v>2065.1455306741705</v>
      </c>
      <c r="H133" s="14">
        <f>(G133-H2)/H2</f>
        <v>0.3021094140442437</v>
      </c>
    </row>
    <row r="134" spans="1:8" ht="12.75">
      <c r="A134" s="7">
        <v>43444</v>
      </c>
      <c r="B134" s="7">
        <v>43474</v>
      </c>
      <c r="C134" s="3">
        <f>394100+58600</f>
        <v>452700</v>
      </c>
      <c r="D134" s="195">
        <f t="shared" si="26"/>
        <v>5932100</v>
      </c>
      <c r="E134" s="3">
        <f>pumpage!DZ43</f>
        <v>7013290.322580645</v>
      </c>
      <c r="F134" s="9">
        <f>pumpage!DZ42*10^-6</f>
        <v>217.41199999999998</v>
      </c>
      <c r="G134" s="3">
        <f t="shared" si="25"/>
        <v>2082.2217724872594</v>
      </c>
      <c r="H134" s="14">
        <f>(G134-H2)/H2</f>
        <v>0.31287627521264777</v>
      </c>
    </row>
    <row r="135" spans="1:8" s="365" customFormat="1" ht="12.75">
      <c r="A135" s="362">
        <v>43475</v>
      </c>
      <c r="B135" s="362">
        <v>43503</v>
      </c>
      <c r="C135" s="360">
        <v>444700</v>
      </c>
      <c r="D135" s="360">
        <f t="shared" si="26"/>
        <v>5912000</v>
      </c>
      <c r="E135" s="360">
        <f>pumpage!EA43</f>
        <v>7295793.1034482755</v>
      </c>
      <c r="F135" s="363">
        <f>pumpage!EA42*10^-6</f>
        <v>211.578</v>
      </c>
      <c r="G135" s="360">
        <f t="shared" si="25"/>
        <v>2101.825331556211</v>
      </c>
      <c r="H135" s="364">
        <f>(G135-$H$2)/$H$2</f>
        <v>0.3252366529358203</v>
      </c>
    </row>
    <row r="136" spans="1:8" ht="12.75">
      <c r="A136" s="7">
        <v>43504</v>
      </c>
      <c r="B136" s="7">
        <v>43534</v>
      </c>
      <c r="C136" s="3">
        <v>462900</v>
      </c>
      <c r="D136" s="69">
        <f t="shared" si="26"/>
        <v>5934200</v>
      </c>
      <c r="E136" s="360">
        <f>pumpage!EB43</f>
        <v>7158387.096774193</v>
      </c>
      <c r="F136" s="363">
        <f>pumpage!EB42*10^-6</f>
        <v>221.91</v>
      </c>
      <c r="G136" s="3">
        <f t="shared" si="25"/>
        <v>2085.9808030282547</v>
      </c>
      <c r="H136" s="364">
        <f aca="true" t="shared" si="27" ref="H136:H196">(G136-$H$2)/$H$2</f>
        <v>0.3152464079623296</v>
      </c>
    </row>
    <row r="137" spans="1:8" ht="12.75">
      <c r="A137" s="7">
        <v>43535</v>
      </c>
      <c r="B137" s="7">
        <v>43563</v>
      </c>
      <c r="C137" s="307">
        <f>363300+56400</f>
        <v>419700</v>
      </c>
      <c r="D137" s="3">
        <f t="shared" si="26"/>
        <v>5934800</v>
      </c>
      <c r="E137" s="360">
        <f>pumpage!EC43</f>
        <v>7062103.448275862</v>
      </c>
      <c r="F137" s="363">
        <f>pumpage!EC42*10^-6</f>
        <v>204.801</v>
      </c>
      <c r="G137" s="3">
        <f t="shared" si="25"/>
        <v>2049.3063998710945</v>
      </c>
      <c r="H137" s="364">
        <f t="shared" si="27"/>
        <v>0.2921225724281807</v>
      </c>
    </row>
    <row r="138" spans="1:8" ht="12.75">
      <c r="A138" s="7">
        <v>43564</v>
      </c>
      <c r="B138" s="7">
        <v>43594</v>
      </c>
      <c r="C138" s="3">
        <v>481500</v>
      </c>
      <c r="D138" s="3">
        <f t="shared" si="26"/>
        <v>5974300</v>
      </c>
      <c r="E138" s="3">
        <f>pumpage!ED43</f>
        <v>8189774.193548387</v>
      </c>
      <c r="F138" s="363">
        <f>pumpage!ED42*10^-6</f>
        <v>253.88299999999998</v>
      </c>
      <c r="G138" s="3">
        <f t="shared" si="25"/>
        <v>1896.542895743315</v>
      </c>
      <c r="H138" s="364">
        <f t="shared" si="27"/>
        <v>0.1958025824358859</v>
      </c>
    </row>
    <row r="139" spans="1:8" ht="12.75">
      <c r="A139" s="7">
        <v>43595</v>
      </c>
      <c r="B139" s="7">
        <v>43626</v>
      </c>
      <c r="C139" s="3">
        <v>516100</v>
      </c>
      <c r="D139" s="195">
        <f t="shared" si="26"/>
        <v>5949500</v>
      </c>
      <c r="E139" s="3">
        <f>pumpage!EE43</f>
        <v>8647750</v>
      </c>
      <c r="F139" s="363">
        <f>pumpage!EE42*10^-6</f>
        <v>276.728</v>
      </c>
      <c r="G139" s="3">
        <f t="shared" si="25"/>
        <v>1865.0082391373478</v>
      </c>
      <c r="H139" s="364">
        <f t="shared" si="27"/>
        <v>0.175919444601102</v>
      </c>
    </row>
    <row r="140" spans="1:8" ht="12.75">
      <c r="A140" s="7">
        <v>43627</v>
      </c>
      <c r="B140" s="7">
        <v>43656</v>
      </c>
      <c r="C140" s="3">
        <v>521600</v>
      </c>
      <c r="D140" s="3">
        <f t="shared" si="26"/>
        <v>5889000</v>
      </c>
      <c r="E140" s="3">
        <f>pumpage!EF43</f>
        <v>9118633.333333334</v>
      </c>
      <c r="F140" s="363">
        <f>pumpage!EF42*10^-6</f>
        <v>273.55899999999997</v>
      </c>
      <c r="G140" s="360">
        <f t="shared" si="25"/>
        <v>1906.718477549633</v>
      </c>
      <c r="H140" s="364">
        <f t="shared" si="27"/>
        <v>0.20221845999346344</v>
      </c>
    </row>
    <row r="141" spans="1:8" ht="12.75">
      <c r="A141" s="7">
        <v>43657</v>
      </c>
      <c r="B141" s="7">
        <v>43689</v>
      </c>
      <c r="C141" s="3">
        <v>623300</v>
      </c>
      <c r="D141" s="3">
        <f t="shared" si="26"/>
        <v>5940700</v>
      </c>
      <c r="E141" s="3">
        <f>pumpage!EG43</f>
        <v>10284818.181818182</v>
      </c>
      <c r="F141" s="363">
        <f>pumpage!EG42*10^-6</f>
        <v>339.399</v>
      </c>
      <c r="G141" s="3">
        <f t="shared" si="25"/>
        <v>1836.4815453198153</v>
      </c>
      <c r="H141" s="364">
        <f t="shared" si="27"/>
        <v>0.15793287851186336</v>
      </c>
    </row>
    <row r="142" spans="1:8" ht="12.75">
      <c r="A142" s="7">
        <v>43690</v>
      </c>
      <c r="B142" s="7">
        <v>43719</v>
      </c>
      <c r="C142" s="3">
        <v>558000</v>
      </c>
      <c r="D142" s="3">
        <f t="shared" si="26"/>
        <v>5912500</v>
      </c>
      <c r="E142" s="3">
        <f>pumpage!EH43</f>
        <v>9470466.666666666</v>
      </c>
      <c r="F142" s="363">
        <f>pumpage!EH42*10^-6</f>
        <v>284.114</v>
      </c>
      <c r="G142" s="3">
        <f t="shared" si="25"/>
        <v>1964.0003660502475</v>
      </c>
      <c r="H142" s="364">
        <f t="shared" si="27"/>
        <v>0.23833566585765922</v>
      </c>
    </row>
    <row r="143" spans="1:8" ht="12.75">
      <c r="A143" s="7">
        <v>43720</v>
      </c>
      <c r="B143" s="7">
        <v>43746</v>
      </c>
      <c r="C143" s="3">
        <v>469400</v>
      </c>
      <c r="D143" s="195">
        <f t="shared" si="26"/>
        <v>5882400</v>
      </c>
      <c r="E143" s="3">
        <f>pumpage!EI43</f>
        <v>8360111.111111111</v>
      </c>
      <c r="F143" s="363">
        <f>pumpage!EI42*10^-6</f>
        <v>225.72299999999998</v>
      </c>
      <c r="G143" s="3">
        <f t="shared" si="25"/>
        <v>2079.5399671278515</v>
      </c>
      <c r="H143" s="364">
        <f t="shared" si="27"/>
        <v>0.31118535127859487</v>
      </c>
    </row>
    <row r="144" spans="1:8" ht="12.75">
      <c r="A144" s="7">
        <v>43747</v>
      </c>
      <c r="B144" s="7">
        <v>43775</v>
      </c>
      <c r="C144" s="3">
        <v>461200</v>
      </c>
      <c r="D144" s="3">
        <f t="shared" si="26"/>
        <v>5898400</v>
      </c>
      <c r="E144" s="3">
        <f>pumpage!EJ43</f>
        <v>7365103.448275862</v>
      </c>
      <c r="F144" s="363">
        <f>pumpage!EJ42*10^-6</f>
        <v>213.588</v>
      </c>
      <c r="G144" s="3">
        <f t="shared" si="25"/>
        <v>2159.2973388018054</v>
      </c>
      <c r="H144" s="364">
        <f t="shared" si="27"/>
        <v>0.36147373190529974</v>
      </c>
    </row>
    <row r="145" spans="1:8" ht="12.75">
      <c r="A145" s="7">
        <v>43776</v>
      </c>
      <c r="B145" s="7">
        <v>43808</v>
      </c>
      <c r="C145" s="195">
        <v>466600</v>
      </c>
      <c r="D145" s="3">
        <f t="shared" si="26"/>
        <v>5877700</v>
      </c>
      <c r="E145" s="3">
        <f>pumpage!EK43</f>
        <v>6821212.121212121</v>
      </c>
      <c r="F145" s="363">
        <f>pumpage!EK42*10^-6</f>
        <v>225.1</v>
      </c>
      <c r="G145" s="360">
        <f t="shared" si="25"/>
        <v>2072.8565082185696</v>
      </c>
      <c r="H145" s="364">
        <f t="shared" si="27"/>
        <v>0.3069713166573579</v>
      </c>
    </row>
    <row r="146" spans="1:8" ht="12.75">
      <c r="A146" s="7">
        <v>43809</v>
      </c>
      <c r="B146" s="7">
        <v>43842</v>
      </c>
      <c r="C146" s="195">
        <v>480900</v>
      </c>
      <c r="D146" s="3">
        <f t="shared" si="26"/>
        <v>5905900</v>
      </c>
      <c r="E146" s="3">
        <f>pumpage!EL43</f>
        <v>6855529.411764706</v>
      </c>
      <c r="F146" s="363">
        <f>pumpage!EL42*10^-6</f>
        <v>233.088</v>
      </c>
      <c r="G146" s="3">
        <f t="shared" si="25"/>
        <v>2063.1692751235587</v>
      </c>
      <c r="H146" s="364">
        <f t="shared" si="27"/>
        <v>0.3008633512758882</v>
      </c>
    </row>
    <row r="147" spans="1:8" ht="12.75">
      <c r="A147" s="7">
        <v>43843</v>
      </c>
      <c r="B147" s="7">
        <v>43870</v>
      </c>
      <c r="C147" s="3">
        <v>392400</v>
      </c>
      <c r="D147" s="195">
        <f t="shared" si="26"/>
        <v>5853600</v>
      </c>
      <c r="E147" s="3">
        <f>pumpage!EM43</f>
        <v>6589642.857142857</v>
      </c>
      <c r="F147" s="363">
        <f>pumpage!EM42*10^-6</f>
        <v>184.51</v>
      </c>
      <c r="G147" s="3">
        <f t="shared" si="25"/>
        <v>2126.7139992412335</v>
      </c>
      <c r="H147" s="364">
        <f t="shared" si="27"/>
        <v>0.34092938161490133</v>
      </c>
    </row>
    <row r="148" spans="1:8" ht="12.75">
      <c r="A148" s="7">
        <v>43871</v>
      </c>
      <c r="B148" s="7">
        <v>43899</v>
      </c>
      <c r="C148" s="3">
        <v>407100</v>
      </c>
      <c r="D148" s="331">
        <f>SUM(C137:C148)</f>
        <v>5797800</v>
      </c>
      <c r="E148" s="3">
        <f>pumpage!EN43</f>
        <v>6578517.24137931</v>
      </c>
      <c r="F148" s="363">
        <f>pumpage!EN42*10^-6</f>
        <v>190.777</v>
      </c>
      <c r="G148" s="3">
        <f t="shared" si="25"/>
        <v>2133.9050304806137</v>
      </c>
      <c r="H148" s="364">
        <f t="shared" si="27"/>
        <v>0.3454634492311562</v>
      </c>
    </row>
    <row r="149" spans="1:8" ht="12.75">
      <c r="A149" s="7">
        <v>43900</v>
      </c>
      <c r="B149" s="7">
        <v>43930</v>
      </c>
      <c r="C149" s="3">
        <v>446900</v>
      </c>
      <c r="D149" s="195">
        <f t="shared" si="26"/>
        <v>5825000</v>
      </c>
      <c r="E149" s="3">
        <f>pumpage!EO43</f>
        <v>7044387.096774193</v>
      </c>
      <c r="F149" s="363">
        <f>pumpage!EO42*10^-6</f>
        <v>218.37599999999998</v>
      </c>
      <c r="G149" s="3">
        <f t="shared" si="25"/>
        <v>2046.4703080924646</v>
      </c>
      <c r="H149" s="364">
        <f t="shared" si="27"/>
        <v>0.2903343682802425</v>
      </c>
    </row>
    <row r="150" spans="1:8" ht="12.75">
      <c r="A150" s="7">
        <v>43931</v>
      </c>
      <c r="B150" s="7">
        <v>43961</v>
      </c>
      <c r="C150" s="3">
        <v>433400</v>
      </c>
      <c r="D150" s="195">
        <f t="shared" si="26"/>
        <v>5776900</v>
      </c>
      <c r="E150" s="3">
        <f>pumpage!EP43</f>
        <v>6788741.935483871</v>
      </c>
      <c r="F150" s="363">
        <f>pumpage!EP42*10^-6</f>
        <v>210.451</v>
      </c>
      <c r="G150" s="360">
        <f t="shared" si="25"/>
        <v>2059.386745608241</v>
      </c>
      <c r="H150" s="364">
        <f t="shared" si="27"/>
        <v>0.2984784020228507</v>
      </c>
    </row>
    <row r="151" spans="1:8" ht="12.75">
      <c r="A151" s="7">
        <v>43962</v>
      </c>
      <c r="B151" s="7">
        <v>43990</v>
      </c>
      <c r="C151" s="3">
        <v>465700</v>
      </c>
      <c r="D151" s="195">
        <f t="shared" si="26"/>
        <v>5726500</v>
      </c>
      <c r="E151" s="3">
        <f>pumpage!EQ43</f>
        <v>8646275.862068966</v>
      </c>
      <c r="F151" s="363">
        <f>pumpage!EQ42*10^-6</f>
        <v>250.742</v>
      </c>
      <c r="G151" s="3">
        <f t="shared" si="25"/>
        <v>1857.2875704907835</v>
      </c>
      <c r="H151" s="364">
        <f t="shared" si="27"/>
        <v>0.17105143158309177</v>
      </c>
    </row>
    <row r="152" spans="1:8" ht="12.75">
      <c r="A152" s="7">
        <v>43991</v>
      </c>
      <c r="B152" s="7">
        <v>44024</v>
      </c>
      <c r="C152" s="3">
        <v>642000</v>
      </c>
      <c r="D152" s="195">
        <f t="shared" si="26"/>
        <v>5846900</v>
      </c>
      <c r="E152" s="3">
        <f>pumpage!ER43</f>
        <v>10867882.352941176</v>
      </c>
      <c r="F152" s="363">
        <f>pumpage!ER42*10^-6</f>
        <v>369.508</v>
      </c>
      <c r="G152" s="3">
        <f t="shared" si="25"/>
        <v>1737.4454680277559</v>
      </c>
      <c r="H152" s="364">
        <f t="shared" si="27"/>
        <v>0.09548894579303648</v>
      </c>
    </row>
    <row r="153" spans="1:8" ht="12.75">
      <c r="A153" s="7">
        <v>44025</v>
      </c>
      <c r="B153" s="7">
        <v>44053</v>
      </c>
      <c r="C153" s="3">
        <v>624400</v>
      </c>
      <c r="D153" s="195">
        <f t="shared" si="26"/>
        <v>5848000</v>
      </c>
      <c r="E153" s="3">
        <f>pumpage!ES43</f>
        <v>11777413.793103449</v>
      </c>
      <c r="F153" s="363">
        <f>pumpage!ES42*10^-6</f>
        <v>341.54499999999996</v>
      </c>
      <c r="G153" s="3">
        <f t="shared" si="25"/>
        <v>1828.1631995783866</v>
      </c>
      <c r="H153" s="364">
        <f t="shared" si="27"/>
        <v>0.15268801991071038</v>
      </c>
    </row>
    <row r="154" spans="1:8" ht="12.75">
      <c r="A154" s="7">
        <v>44054</v>
      </c>
      <c r="B154" s="7">
        <v>44082</v>
      </c>
      <c r="C154" s="3">
        <v>602300</v>
      </c>
      <c r="D154" s="195">
        <f t="shared" si="26"/>
        <v>5892300</v>
      </c>
      <c r="E154" s="3">
        <f>pumpage!ET43</f>
        <v>11304931.034482758</v>
      </c>
      <c r="F154" s="363">
        <f>pumpage!ET42*10^-6</f>
        <v>327.84299999999996</v>
      </c>
      <c r="G154" s="3">
        <f t="shared" si="25"/>
        <v>1837.1598600549655</v>
      </c>
      <c r="H154" s="364">
        <f t="shared" si="27"/>
        <v>0.15836056749997826</v>
      </c>
    </row>
    <row r="155" spans="1:8" ht="12.75">
      <c r="A155" s="7">
        <v>44083</v>
      </c>
      <c r="B155" s="7">
        <v>44110</v>
      </c>
      <c r="C155" s="3">
        <v>550700</v>
      </c>
      <c r="D155" s="195">
        <f t="shared" si="26"/>
        <v>5973600</v>
      </c>
      <c r="E155" s="3">
        <f>pumpage!EU43</f>
        <v>10089607.142857144</v>
      </c>
      <c r="F155" s="363">
        <f>pumpage!EU42*10^-6</f>
        <v>282.509</v>
      </c>
      <c r="G155" s="360">
        <f t="shared" si="25"/>
        <v>1949.318428793419</v>
      </c>
      <c r="H155" s="364">
        <f t="shared" si="27"/>
        <v>0.22907845447252137</v>
      </c>
    </row>
    <row r="156" spans="1:8" ht="12.75">
      <c r="A156" s="7">
        <v>44111</v>
      </c>
      <c r="B156" s="7">
        <v>44140</v>
      </c>
      <c r="C156" s="3">
        <v>531600</v>
      </c>
      <c r="D156" s="195">
        <f t="shared" si="26"/>
        <v>6044000</v>
      </c>
      <c r="E156" s="3">
        <f>pumpage!EV43</f>
        <v>9366400</v>
      </c>
      <c r="F156" s="363">
        <f>pumpage!EV42*10^-6</f>
        <v>280.99199999999996</v>
      </c>
      <c r="G156" s="3">
        <f t="shared" si="25"/>
        <v>1891.8688076528872</v>
      </c>
      <c r="H156" s="364">
        <f t="shared" si="27"/>
        <v>0.19285549032338412</v>
      </c>
    </row>
    <row r="157" spans="1:8" ht="12.75">
      <c r="A157" s="7">
        <v>44141</v>
      </c>
      <c r="B157" s="7">
        <v>44174</v>
      </c>
      <c r="C157" s="3">
        <v>525000</v>
      </c>
      <c r="D157" s="195">
        <f t="shared" si="26"/>
        <v>6102400</v>
      </c>
      <c r="E157" s="3">
        <f>pumpage!EW43</f>
        <v>8460705.88235294</v>
      </c>
      <c r="F157" s="363">
        <f>pumpage!EW42*10^-6</f>
        <v>287.664</v>
      </c>
      <c r="G157" s="3">
        <f t="shared" si="25"/>
        <v>1825.0458868680128</v>
      </c>
      <c r="H157" s="364">
        <f t="shared" si="27"/>
        <v>0.15072250117781386</v>
      </c>
    </row>
    <row r="158" spans="1:8" ht="12.75">
      <c r="A158" s="7">
        <v>44175</v>
      </c>
      <c r="B158" s="7">
        <v>44207</v>
      </c>
      <c r="C158" s="3">
        <v>515400</v>
      </c>
      <c r="D158" s="195">
        <f t="shared" si="26"/>
        <v>6136900</v>
      </c>
      <c r="E158" s="3">
        <f>pumpage!EX43</f>
        <v>8004787.878787879</v>
      </c>
      <c r="F158" s="363">
        <f>pumpage!EX42*10^-6</f>
        <v>264.158</v>
      </c>
      <c r="G158" s="3">
        <f t="shared" si="25"/>
        <v>1951.105020480167</v>
      </c>
      <c r="H158" s="364">
        <f t="shared" si="27"/>
        <v>0.23020493094588085</v>
      </c>
    </row>
    <row r="159" spans="1:8" ht="12.75">
      <c r="A159" s="7">
        <v>44208</v>
      </c>
      <c r="B159" s="7">
        <v>44236</v>
      </c>
      <c r="C159" s="3">
        <v>449800</v>
      </c>
      <c r="D159" s="195">
        <f t="shared" si="26"/>
        <v>6194300</v>
      </c>
      <c r="E159" s="3">
        <f>pumpage!EY43</f>
        <v>7720965.517241379</v>
      </c>
      <c r="F159" s="363">
        <f>pumpage!EY42*10^-6</f>
        <v>223.908</v>
      </c>
      <c r="G159" s="3">
        <f t="shared" si="25"/>
        <v>2008.860782106937</v>
      </c>
      <c r="H159" s="364">
        <f t="shared" si="27"/>
        <v>0.2666209218833146</v>
      </c>
    </row>
    <row r="160" spans="1:8" ht="12.75">
      <c r="A160" s="7">
        <v>44237</v>
      </c>
      <c r="B160" s="7">
        <v>44265</v>
      </c>
      <c r="C160" s="3">
        <v>438300</v>
      </c>
      <c r="D160" s="332">
        <f>SUM(C149:C160)</f>
        <v>6225500</v>
      </c>
      <c r="E160" s="3">
        <f>pumpage!EZ43</f>
        <v>7276413.793103448</v>
      </c>
      <c r="F160" s="363">
        <f>pumpage!EZ42*10^-6</f>
        <v>211.016</v>
      </c>
      <c r="G160" s="360">
        <f t="shared" si="25"/>
        <v>2077.093680100087</v>
      </c>
      <c r="H160" s="364">
        <f t="shared" si="27"/>
        <v>0.3096429256620978</v>
      </c>
    </row>
    <row r="161" spans="1:8" ht="12.75">
      <c r="A161" s="7">
        <v>44266</v>
      </c>
      <c r="B161" s="7">
        <v>44298</v>
      </c>
      <c r="C161" s="3">
        <v>473100</v>
      </c>
      <c r="D161" s="195">
        <f t="shared" si="26"/>
        <v>6251700</v>
      </c>
      <c r="E161" s="3">
        <f>pumpage!FA43</f>
        <v>7262545.454545454</v>
      </c>
      <c r="F161" s="363">
        <f>pumpage!FA42*10^-6</f>
        <v>239.664</v>
      </c>
      <c r="G161" s="3">
        <f aca="true" t="shared" si="28" ref="G161:G196">C161/F161</f>
        <v>1974.0136190666935</v>
      </c>
      <c r="H161" s="364">
        <f t="shared" si="27"/>
        <v>0.24464919234974372</v>
      </c>
    </row>
    <row r="162" spans="1:8" ht="12.75">
      <c r="A162" s="7">
        <v>44299</v>
      </c>
      <c r="B162" s="7">
        <v>44326</v>
      </c>
      <c r="C162" s="3">
        <v>430200</v>
      </c>
      <c r="D162" s="195">
        <f t="shared" si="26"/>
        <v>6248500</v>
      </c>
      <c r="E162" s="3">
        <f>pumpage!FB43</f>
        <v>7563643.571428572</v>
      </c>
      <c r="F162" s="363">
        <f>pumpage!FB42*10^-6</f>
        <v>211.78202</v>
      </c>
      <c r="G162" s="3">
        <f t="shared" si="28"/>
        <v>2031.333915882</v>
      </c>
      <c r="H162" s="364">
        <f t="shared" si="27"/>
        <v>0.2807906153102143</v>
      </c>
    </row>
    <row r="163" spans="1:8" ht="12.75">
      <c r="A163" s="7">
        <v>44327</v>
      </c>
      <c r="B163" s="7">
        <v>44356</v>
      </c>
      <c r="C163" s="3">
        <v>568200</v>
      </c>
      <c r="D163" s="195">
        <f t="shared" si="26"/>
        <v>6351000</v>
      </c>
      <c r="E163" s="3">
        <f>pumpage!FC43</f>
        <v>9942846.666666666</v>
      </c>
      <c r="F163" s="363">
        <f>pumpage!FC42*10^-6</f>
        <v>298.2854</v>
      </c>
      <c r="G163" s="3">
        <f t="shared" si="28"/>
        <v>1904.8870645361792</v>
      </c>
      <c r="H163" s="364">
        <f t="shared" si="27"/>
        <v>0.20106372291057956</v>
      </c>
    </row>
    <row r="164" spans="1:8" ht="12.75">
      <c r="A164" s="7">
        <v>44357</v>
      </c>
      <c r="B164" s="7">
        <v>44388</v>
      </c>
      <c r="C164" s="3">
        <v>596700</v>
      </c>
      <c r="D164" s="195">
        <f t="shared" si="26"/>
        <v>6305700</v>
      </c>
      <c r="E164" s="3">
        <f>pumpage!FD43</f>
        <v>9841050.625</v>
      </c>
      <c r="F164" s="363">
        <f>pumpage!FD42*10^-6</f>
        <v>314.91362</v>
      </c>
      <c r="G164" s="3">
        <f t="shared" si="28"/>
        <v>1894.805312009052</v>
      </c>
      <c r="H164" s="364">
        <f t="shared" si="27"/>
        <v>0.19470700631087764</v>
      </c>
    </row>
    <row r="165" spans="1:8" ht="12.75">
      <c r="A165" s="7">
        <v>44389</v>
      </c>
      <c r="B165" s="7">
        <v>44418</v>
      </c>
      <c r="C165" s="3">
        <v>626100</v>
      </c>
      <c r="D165" s="195">
        <f t="shared" si="26"/>
        <v>6307400</v>
      </c>
      <c r="E165" s="3">
        <f>pumpage!FE43</f>
        <v>10163931</v>
      </c>
      <c r="F165" s="363">
        <f>pumpage!FE42*10^-6</f>
        <v>304.91793</v>
      </c>
      <c r="G165" s="360">
        <f t="shared" si="28"/>
        <v>2053.339401851508</v>
      </c>
      <c r="H165" s="364">
        <f t="shared" si="27"/>
        <v>0.2946654488344942</v>
      </c>
    </row>
    <row r="166" spans="1:8" ht="12.75">
      <c r="A166" s="7">
        <v>44419</v>
      </c>
      <c r="B166" s="7">
        <v>44448</v>
      </c>
      <c r="C166" s="3">
        <v>571800</v>
      </c>
      <c r="D166" s="360">
        <f aca="true" t="shared" si="29" ref="D166:D196">SUM(C155:C166)</f>
        <v>6276900</v>
      </c>
      <c r="E166" s="3">
        <f>pumpage!FF43</f>
        <v>9133929.666666666</v>
      </c>
      <c r="F166" s="363">
        <f>pumpage!FF42*10^-6</f>
        <v>274.01788999999997</v>
      </c>
      <c r="G166" s="3">
        <f t="shared" si="28"/>
        <v>2086.725067476434</v>
      </c>
      <c r="H166" s="364">
        <f t="shared" si="27"/>
        <v>0.3157156793672346</v>
      </c>
    </row>
    <row r="167" spans="1:8" ht="12.75">
      <c r="A167" s="7">
        <v>44449</v>
      </c>
      <c r="B167" s="7">
        <v>44480</v>
      </c>
      <c r="C167" s="3">
        <v>561900</v>
      </c>
      <c r="D167" s="195">
        <f t="shared" si="29"/>
        <v>6288100</v>
      </c>
      <c r="E167" s="3">
        <f>pumpage!FG43</f>
        <v>7669125</v>
      </c>
      <c r="F167" s="363">
        <f>pumpage!FG42*10^-6</f>
        <v>245.41199999999998</v>
      </c>
      <c r="G167" s="3">
        <f t="shared" si="28"/>
        <v>2289.6190895310747</v>
      </c>
      <c r="H167" s="364">
        <f t="shared" si="27"/>
        <v>0.4436438143323296</v>
      </c>
    </row>
    <row r="168" spans="1:8" ht="12.75">
      <c r="A168" s="7">
        <v>44481</v>
      </c>
      <c r="B168" s="7">
        <v>44507</v>
      </c>
      <c r="C168" s="3">
        <v>438000</v>
      </c>
      <c r="D168" s="195">
        <f t="shared" si="29"/>
        <v>6194500</v>
      </c>
      <c r="E168" s="3">
        <f>pumpage!FH43</f>
        <v>7125851.851851852</v>
      </c>
      <c r="F168" s="363">
        <f>pumpage!FH42*10^-6</f>
        <v>192.398</v>
      </c>
      <c r="G168" s="3">
        <f t="shared" si="28"/>
        <v>2276.5309410700734</v>
      </c>
      <c r="H168" s="364">
        <f t="shared" si="27"/>
        <v>0.43539151391555697</v>
      </c>
    </row>
    <row r="169" spans="1:8" ht="12.75">
      <c r="A169" s="7">
        <v>44508</v>
      </c>
      <c r="B169" s="7">
        <v>44538</v>
      </c>
      <c r="C169" s="3">
        <v>484200</v>
      </c>
      <c r="D169" s="195">
        <f t="shared" si="29"/>
        <v>6153700</v>
      </c>
      <c r="E169" s="3">
        <f>pumpage!FI43</f>
        <v>7572032.258064516</v>
      </c>
      <c r="F169" s="363">
        <f>pumpage!FI42*10^-6</f>
        <v>234.73299999999998</v>
      </c>
      <c r="G169" s="3">
        <f t="shared" si="28"/>
        <v>2062.769188823046</v>
      </c>
      <c r="H169" s="364">
        <f t="shared" si="27"/>
        <v>0.300611090052362</v>
      </c>
    </row>
    <row r="170" spans="1:8" ht="12.75">
      <c r="A170" s="7">
        <v>44539</v>
      </c>
      <c r="B170" s="7">
        <v>44570</v>
      </c>
      <c r="C170" s="3">
        <v>478600</v>
      </c>
      <c r="D170" s="195">
        <f t="shared" si="29"/>
        <v>6116900</v>
      </c>
      <c r="E170" s="3">
        <f>pumpage!FJ43</f>
        <v>6885968.75</v>
      </c>
      <c r="F170" s="363">
        <f>pumpage!FJ42*10^-6</f>
        <v>220.351</v>
      </c>
      <c r="G170" s="360">
        <f t="shared" si="28"/>
        <v>2171.9892353563177</v>
      </c>
      <c r="H170" s="364">
        <f t="shared" si="27"/>
        <v>0.3694761887492546</v>
      </c>
    </row>
    <row r="171" spans="1:8" ht="12.75">
      <c r="A171" s="7">
        <v>44571</v>
      </c>
      <c r="B171" s="7">
        <v>44599</v>
      </c>
      <c r="C171" s="3">
        <v>416100</v>
      </c>
      <c r="D171" s="195">
        <f t="shared" si="29"/>
        <v>6083200</v>
      </c>
      <c r="E171" s="3">
        <f>pumpage!FK43</f>
        <v>6539758.620689655</v>
      </c>
      <c r="F171" s="363">
        <f>pumpage!FK42*10^-6</f>
        <v>189.653</v>
      </c>
      <c r="G171" s="3">
        <f t="shared" si="28"/>
        <v>2194.0069495341495</v>
      </c>
      <c r="H171" s="364">
        <f t="shared" si="27"/>
        <v>0.38335873236705514</v>
      </c>
    </row>
    <row r="172" spans="1:8" ht="12.75">
      <c r="A172" s="7">
        <v>44600</v>
      </c>
      <c r="B172" s="7">
        <v>44629</v>
      </c>
      <c r="C172" s="3">
        <v>406500</v>
      </c>
      <c r="D172" s="361">
        <f t="shared" si="29"/>
        <v>6051400</v>
      </c>
      <c r="E172" s="3">
        <f>pumpage!FL43</f>
        <v>5964066.666666667</v>
      </c>
      <c r="F172" s="363">
        <f>pumpage!FL42*10^-6</f>
        <v>178.922</v>
      </c>
      <c r="G172" s="3">
        <f t="shared" si="28"/>
        <v>2271.9397279261357</v>
      </c>
      <c r="H172" s="364">
        <f t="shared" si="27"/>
        <v>0.432496675867677</v>
      </c>
    </row>
    <row r="173" spans="1:8" ht="12.75">
      <c r="A173" s="7">
        <v>44630</v>
      </c>
      <c r="B173" s="7">
        <v>44661</v>
      </c>
      <c r="C173" s="3">
        <v>436000</v>
      </c>
      <c r="D173" s="195">
        <f t="shared" si="29"/>
        <v>6014300</v>
      </c>
      <c r="E173" s="3">
        <f>pumpage!FM43</f>
        <v>6636375</v>
      </c>
      <c r="F173" s="363">
        <f>pumpage!FM42*10^-6</f>
        <v>212.364</v>
      </c>
      <c r="G173" s="3">
        <f t="shared" si="28"/>
        <v>2053.0786762351436</v>
      </c>
      <c r="H173" s="364">
        <f t="shared" si="27"/>
        <v>0.29450105689479417</v>
      </c>
    </row>
    <row r="174" spans="1:8" ht="12.75">
      <c r="A174" s="7">
        <v>44662</v>
      </c>
      <c r="B174" s="7">
        <v>44690</v>
      </c>
      <c r="C174" s="3">
        <v>418200</v>
      </c>
      <c r="D174" s="195">
        <f t="shared" si="29"/>
        <v>6002300</v>
      </c>
      <c r="E174" s="3">
        <f>pumpage!FN43</f>
        <v>6709068.9655172415</v>
      </c>
      <c r="F174" s="363">
        <f>pumpage!FN42*10^-6</f>
        <v>194.563</v>
      </c>
      <c r="G174" s="3">
        <f t="shared" si="28"/>
        <v>2149.4323175526692</v>
      </c>
      <c r="H174" s="364">
        <f t="shared" si="27"/>
        <v>0.35525366806599573</v>
      </c>
    </row>
    <row r="175" spans="1:8" ht="12.75">
      <c r="A175" s="7">
        <v>44691</v>
      </c>
      <c r="B175" s="7">
        <v>36685</v>
      </c>
      <c r="C175" s="3">
        <v>535900</v>
      </c>
      <c r="D175" s="195">
        <f t="shared" si="29"/>
        <v>5970000</v>
      </c>
      <c r="E175" s="3">
        <f>pumpage!FO43</f>
        <v>8679033.333333334</v>
      </c>
      <c r="F175" s="363">
        <f>pumpage!FO42*10^-6</f>
        <v>260.371</v>
      </c>
      <c r="G175" s="3">
        <f t="shared" si="28"/>
        <v>2058.216928920656</v>
      </c>
      <c r="H175" s="364">
        <f t="shared" si="27"/>
        <v>0.29774081268641606</v>
      </c>
    </row>
    <row r="176" spans="1:8" ht="12.75">
      <c r="A176" s="7">
        <v>44721</v>
      </c>
      <c r="B176" s="7">
        <v>44752</v>
      </c>
      <c r="C176" s="3">
        <v>625500</v>
      </c>
      <c r="D176" s="195">
        <f t="shared" si="29"/>
        <v>5998800</v>
      </c>
      <c r="E176" s="3">
        <f>pumpage!FP43</f>
        <v>9257968.75</v>
      </c>
      <c r="F176" s="363">
        <f>pumpage!FP42*10^-6</f>
        <v>296.255</v>
      </c>
      <c r="G176" s="3">
        <f t="shared" si="28"/>
        <v>2111.3567703498675</v>
      </c>
      <c r="H176" s="364">
        <f t="shared" si="27"/>
        <v>0.3312463873580501</v>
      </c>
    </row>
    <row r="177" spans="1:8" ht="12.75">
      <c r="A177" s="7">
        <v>44753</v>
      </c>
      <c r="B177" s="7">
        <v>44782</v>
      </c>
      <c r="C177" s="3">
        <v>655500</v>
      </c>
      <c r="D177" s="195">
        <f t="shared" si="29"/>
        <v>6028200</v>
      </c>
      <c r="E177" s="3">
        <f>pumpage!FQ43</f>
        <v>10506466.666666666</v>
      </c>
      <c r="F177" s="363">
        <f>pumpage!FQ42*10^-6</f>
        <v>315.19399999999996</v>
      </c>
      <c r="G177" s="3">
        <f t="shared" si="28"/>
        <v>2079.6715673521708</v>
      </c>
      <c r="H177" s="364">
        <f t="shared" si="27"/>
        <v>0.3112683274603851</v>
      </c>
    </row>
    <row r="178" spans="1:8" ht="12.75">
      <c r="A178" s="7">
        <v>44783</v>
      </c>
      <c r="B178" s="7">
        <v>44812</v>
      </c>
      <c r="C178" s="3">
        <v>635400</v>
      </c>
      <c r="D178" s="195">
        <f t="shared" si="29"/>
        <v>6091800</v>
      </c>
      <c r="E178" s="3">
        <f>pumpage!FR43</f>
        <v>9207900</v>
      </c>
      <c r="F178" s="363">
        <f>pumpage!FR42*10^-6</f>
        <v>276.23699999999997</v>
      </c>
      <c r="G178" s="3">
        <f t="shared" si="28"/>
        <v>2300.1987423842575</v>
      </c>
      <c r="H178" s="364">
        <f t="shared" si="27"/>
        <v>0.4503144655638445</v>
      </c>
    </row>
    <row r="179" spans="1:8" ht="12.75">
      <c r="A179" s="7">
        <v>44813</v>
      </c>
      <c r="B179" s="7">
        <v>44845</v>
      </c>
      <c r="C179" s="3">
        <v>611100</v>
      </c>
      <c r="D179" s="195">
        <f t="shared" si="29"/>
        <v>6141000</v>
      </c>
      <c r="E179" s="3">
        <f>pumpage!FS43</f>
        <v>7823030.303030303</v>
      </c>
      <c r="F179" s="363">
        <f>pumpage!FS42*10^-6</f>
        <v>258.15999999999997</v>
      </c>
      <c r="G179" s="3">
        <f t="shared" si="28"/>
        <v>2367.136659436009</v>
      </c>
      <c r="H179" s="364">
        <f t="shared" si="27"/>
        <v>0.49251996181337254</v>
      </c>
    </row>
    <row r="180" spans="1:8" ht="12.75">
      <c r="A180" s="7">
        <v>44846</v>
      </c>
      <c r="B180" s="7">
        <v>44872</v>
      </c>
      <c r="C180" s="3">
        <v>413100</v>
      </c>
      <c r="D180" s="195">
        <f t="shared" si="29"/>
        <v>6116100</v>
      </c>
      <c r="E180" s="3">
        <f>pumpage!FT43</f>
        <v>6606925.925925926</v>
      </c>
      <c r="F180" s="363">
        <f>pumpage!FT42*10^-6</f>
        <v>178.387</v>
      </c>
      <c r="G180" s="3">
        <f t="shared" si="28"/>
        <v>2315.751708364399</v>
      </c>
      <c r="H180" s="364">
        <f t="shared" si="27"/>
        <v>0.46012087538738894</v>
      </c>
    </row>
    <row r="181" spans="1:8" ht="12.75">
      <c r="A181" s="7">
        <v>44873</v>
      </c>
      <c r="B181" s="7">
        <v>44903</v>
      </c>
      <c r="C181" s="3">
        <v>431600</v>
      </c>
      <c r="D181" s="195">
        <f t="shared" si="29"/>
        <v>6063500</v>
      </c>
      <c r="E181" s="3">
        <f>pumpage!FU43</f>
        <v>6052516.129032258</v>
      </c>
      <c r="F181" s="363">
        <f>pumpage!FU42*10^-6</f>
        <v>187.628</v>
      </c>
      <c r="G181" s="3">
        <f t="shared" si="28"/>
        <v>2300.2963310380114</v>
      </c>
      <c r="H181" s="364">
        <f t="shared" si="27"/>
        <v>0.45037599687138175</v>
      </c>
    </row>
    <row r="182" spans="1:8" ht="12.75">
      <c r="A182" s="7">
        <v>44904</v>
      </c>
      <c r="B182" s="7">
        <v>44935</v>
      </c>
      <c r="C182" s="3">
        <v>464600</v>
      </c>
      <c r="D182" s="195">
        <f t="shared" si="29"/>
        <v>6049500</v>
      </c>
      <c r="E182" s="3">
        <f>pumpage!FV43</f>
        <v>6401937.5</v>
      </c>
      <c r="F182" s="363">
        <f>pumpage!FV42*10^-6</f>
        <v>204.862</v>
      </c>
      <c r="G182" s="3">
        <f t="shared" si="28"/>
        <v>2267.868125860335</v>
      </c>
      <c r="H182" s="364">
        <f t="shared" si="27"/>
        <v>0.42992946145040045</v>
      </c>
    </row>
    <row r="183" spans="1:8" ht="12.75">
      <c r="A183" s="7">
        <v>44936</v>
      </c>
      <c r="B183" s="7">
        <v>44964</v>
      </c>
      <c r="C183" s="3">
        <v>440500</v>
      </c>
      <c r="D183" s="195">
        <f t="shared" si="29"/>
        <v>6073900</v>
      </c>
      <c r="E183" s="3">
        <f>pumpage!FW43</f>
        <v>6746034.482758621</v>
      </c>
      <c r="F183" s="363">
        <f>pumpage!FW42*10^-6</f>
        <v>195.635</v>
      </c>
      <c r="G183" s="3">
        <f t="shared" si="28"/>
        <v>2251.6420885833313</v>
      </c>
      <c r="H183" s="364">
        <f t="shared" si="27"/>
        <v>0.4196986687158457</v>
      </c>
    </row>
    <row r="184" spans="1:8" ht="12.75">
      <c r="A184" s="7">
        <v>44965</v>
      </c>
      <c r="B184" s="7">
        <v>44994</v>
      </c>
      <c r="C184" s="3">
        <v>417500</v>
      </c>
      <c r="D184" s="389">
        <f t="shared" si="29"/>
        <v>6084900</v>
      </c>
      <c r="E184" s="3">
        <f>pumpage!FX43</f>
        <v>6084533.333333333</v>
      </c>
      <c r="F184" s="363">
        <f>pumpage!FX42*10^-6</f>
        <v>182.536</v>
      </c>
      <c r="G184" s="3">
        <f t="shared" si="28"/>
        <v>2287.220055221984</v>
      </c>
      <c r="H184" s="364">
        <f t="shared" si="27"/>
        <v>0.4421311823593845</v>
      </c>
    </row>
    <row r="185" spans="1:8" ht="12.75">
      <c r="A185" s="7">
        <v>44995</v>
      </c>
      <c r="B185" s="7">
        <v>45026</v>
      </c>
      <c r="C185" s="3">
        <v>434400</v>
      </c>
      <c r="D185" s="195">
        <f t="shared" si="29"/>
        <v>6083300</v>
      </c>
      <c r="E185" s="3">
        <f>pumpage!FY43</f>
        <v>5738000</v>
      </c>
      <c r="F185" s="363">
        <f>pumpage!FY42*10^-6</f>
        <v>183.61599999999999</v>
      </c>
      <c r="G185" s="3">
        <f t="shared" si="28"/>
        <v>2365.806901359359</v>
      </c>
      <c r="H185" s="364">
        <f t="shared" si="27"/>
        <v>0.491681526708297</v>
      </c>
    </row>
    <row r="186" spans="1:8" ht="12.75">
      <c r="A186" s="7">
        <v>45027</v>
      </c>
      <c r="B186" s="7">
        <v>45055</v>
      </c>
      <c r="C186" s="3">
        <v>391100</v>
      </c>
      <c r="D186" s="195">
        <f t="shared" si="29"/>
        <v>6056200</v>
      </c>
      <c r="E186" s="3">
        <f>pumpage!FZ43</f>
        <v>6488000</v>
      </c>
      <c r="F186" s="363">
        <f>pumpage!FZ42*10^-6</f>
        <v>188.152</v>
      </c>
      <c r="G186" s="3">
        <f t="shared" si="28"/>
        <v>2078.6385475572943</v>
      </c>
      <c r="H186" s="364">
        <f t="shared" si="27"/>
        <v>0.31061699089362815</v>
      </c>
    </row>
    <row r="187" spans="1:8" ht="12.75">
      <c r="A187" s="7">
        <v>45056</v>
      </c>
      <c r="B187" s="7">
        <v>45085</v>
      </c>
      <c r="C187" s="3">
        <v>512300</v>
      </c>
      <c r="D187" s="195">
        <f t="shared" si="29"/>
        <v>6032600</v>
      </c>
      <c r="E187" s="3">
        <f>pumpage!GA43</f>
        <v>7957966.666666667</v>
      </c>
      <c r="F187" s="363">
        <f>pumpage!GA42*10^-6</f>
        <v>238.73899999999998</v>
      </c>
      <c r="G187" s="3">
        <f t="shared" si="28"/>
        <v>2145.858029061025</v>
      </c>
      <c r="H187" s="364">
        <f t="shared" si="27"/>
        <v>0.3530000183234709</v>
      </c>
    </row>
    <row r="188" spans="1:8" ht="12.75">
      <c r="A188" s="7">
        <v>45086</v>
      </c>
      <c r="B188" s="7">
        <v>45117</v>
      </c>
      <c r="C188" s="3">
        <v>569900</v>
      </c>
      <c r="D188" s="195">
        <f t="shared" si="29"/>
        <v>5977000</v>
      </c>
      <c r="E188" s="3">
        <f>pumpage!GB43</f>
        <v>9517677.41935484</v>
      </c>
      <c r="F188" s="363">
        <f>pumpage!GB42*10^-6</f>
        <v>305.062</v>
      </c>
      <c r="G188" s="3">
        <f t="shared" si="28"/>
        <v>1868.1448361316716</v>
      </c>
      <c r="H188" s="364">
        <f t="shared" si="27"/>
        <v>0.1778971224033238</v>
      </c>
    </row>
    <row r="189" spans="1:8" ht="12.75">
      <c r="A189" s="7">
        <v>45118</v>
      </c>
      <c r="B189" s="7">
        <v>45153</v>
      </c>
      <c r="C189" s="3">
        <v>680400</v>
      </c>
      <c r="D189" s="195">
        <f t="shared" si="29"/>
        <v>6001900</v>
      </c>
      <c r="E189" s="3">
        <f>pumpage!GC43</f>
        <v>10037000</v>
      </c>
      <c r="F189" s="363">
        <f>pumpage!GC42*10^-6</f>
        <v>361.332</v>
      </c>
      <c r="G189" s="3">
        <f t="shared" si="28"/>
        <v>1883.0327787187407</v>
      </c>
      <c r="H189" s="364">
        <f t="shared" si="27"/>
        <v>0.18728422365620473</v>
      </c>
    </row>
    <row r="190" spans="1:8" ht="12.75">
      <c r="A190" s="7">
        <v>45154</v>
      </c>
      <c r="B190" s="7">
        <v>45179</v>
      </c>
      <c r="C190" s="3">
        <v>504900</v>
      </c>
      <c r="D190" s="195">
        <f t="shared" si="29"/>
        <v>5871400</v>
      </c>
      <c r="E190" s="3">
        <f>pumpage!GD43</f>
        <v>9014423.076923076</v>
      </c>
      <c r="F190" s="363">
        <f>pumpage!GD42*10^-6</f>
        <v>234.375</v>
      </c>
      <c r="G190" s="3">
        <f t="shared" si="28"/>
        <v>2154.24</v>
      </c>
      <c r="H190" s="364">
        <f t="shared" si="27"/>
        <v>0.35828499369482963</v>
      </c>
    </row>
    <row r="191" spans="1:8" ht="12.75">
      <c r="A191" s="7">
        <v>45180</v>
      </c>
      <c r="B191" s="7">
        <v>45208</v>
      </c>
      <c r="C191" s="3">
        <v>557200</v>
      </c>
      <c r="D191" s="195">
        <f t="shared" si="29"/>
        <v>5817500</v>
      </c>
      <c r="E191" s="3">
        <f>pumpage!GE43</f>
        <v>7908862.068965517</v>
      </c>
      <c r="F191" s="363">
        <f>pumpage!GE42*10^-6</f>
        <v>229.357</v>
      </c>
      <c r="G191" s="3">
        <f t="shared" si="28"/>
        <v>2429.400454313581</v>
      </c>
      <c r="H191" s="364">
        <f t="shared" si="27"/>
        <v>0.5317783444600133</v>
      </c>
    </row>
    <row r="192" spans="1:8" ht="12.75">
      <c r="A192" s="7">
        <v>45209</v>
      </c>
      <c r="B192" s="7">
        <v>45237</v>
      </c>
      <c r="C192" s="3">
        <v>441600</v>
      </c>
      <c r="D192" s="195">
        <f t="shared" si="29"/>
        <v>5846000</v>
      </c>
      <c r="E192" s="3">
        <f>pumpage!GF43</f>
        <v>7320655.172413793</v>
      </c>
      <c r="F192" s="363">
        <f>pumpage!GF42*10^-6</f>
        <v>212.29899999999998</v>
      </c>
      <c r="G192" s="3">
        <f t="shared" si="28"/>
        <v>2080.085162907032</v>
      </c>
      <c r="H192" s="364">
        <f t="shared" si="27"/>
        <v>0.3115291064987592</v>
      </c>
    </row>
    <row r="193" spans="1:8" ht="12.75">
      <c r="A193" s="7">
        <v>45238</v>
      </c>
      <c r="B193" s="7">
        <v>45270</v>
      </c>
      <c r="C193" s="3">
        <v>459900</v>
      </c>
      <c r="D193" s="195">
        <f t="shared" si="29"/>
        <v>5874300</v>
      </c>
      <c r="E193" s="3">
        <f>pumpage!GG43</f>
        <v>0</v>
      </c>
      <c r="F193" s="363">
        <f>pumpage!GG42*10^-6</f>
        <v>0</v>
      </c>
      <c r="G193" s="3" t="e">
        <f t="shared" si="28"/>
        <v>#DIV/0!</v>
      </c>
      <c r="H193" s="364" t="e">
        <f t="shared" si="27"/>
        <v>#DIV/0!</v>
      </c>
    </row>
    <row r="194" spans="1:8" ht="12.75">
      <c r="A194" s="4"/>
      <c r="B194" s="4"/>
      <c r="C194" s="3"/>
      <c r="D194" s="195">
        <f t="shared" si="29"/>
        <v>5409700</v>
      </c>
      <c r="E194" s="3">
        <f>pumpage!GH43</f>
        <v>0</v>
      </c>
      <c r="F194" s="363">
        <f>pumpage!GH42*10^-6</f>
        <v>0</v>
      </c>
      <c r="G194" s="3" t="e">
        <f t="shared" si="28"/>
        <v>#DIV/0!</v>
      </c>
      <c r="H194" s="364" t="e">
        <f t="shared" si="27"/>
        <v>#DIV/0!</v>
      </c>
    </row>
    <row r="195" spans="1:8" ht="12.75">
      <c r="A195" s="4"/>
      <c r="B195" s="4"/>
      <c r="C195" s="3"/>
      <c r="D195" s="195">
        <f t="shared" si="29"/>
        <v>4969200</v>
      </c>
      <c r="E195" s="3">
        <f>pumpage!GI43</f>
        <v>0</v>
      </c>
      <c r="F195" s="363">
        <f>pumpage!GI42*10^-6</f>
        <v>0</v>
      </c>
      <c r="G195" s="3" t="e">
        <f t="shared" si="28"/>
        <v>#DIV/0!</v>
      </c>
      <c r="H195" s="364" t="e">
        <f t="shared" si="27"/>
        <v>#DIV/0!</v>
      </c>
    </row>
    <row r="196" spans="1:8" ht="12.75">
      <c r="A196" s="4"/>
      <c r="B196" s="4"/>
      <c r="C196" s="3"/>
      <c r="D196" s="413">
        <f t="shared" si="29"/>
        <v>4551700</v>
      </c>
      <c r="E196" s="3">
        <f>pumpage!GJ43</f>
        <v>0</v>
      </c>
      <c r="F196" s="363">
        <f>pumpage!GJ42*10^-6</f>
        <v>0</v>
      </c>
      <c r="G196" s="3" t="e">
        <f t="shared" si="28"/>
        <v>#DIV/0!</v>
      </c>
      <c r="H196" s="364" t="e">
        <f t="shared" si="27"/>
        <v>#DIV/0!</v>
      </c>
    </row>
  </sheetData>
  <sheetProtection/>
  <printOptions/>
  <pageMargins left="0.4" right="0.15" top="1" bottom="1" header="0.5" footer="0.5"/>
  <pageSetup horizontalDpi="300" verticalDpi="300" orientation="landscape" r:id="rId1"/>
  <ignoredErrors>
    <ignoredError sqref="D19:D101 D102:D112 D113:D124 D125:D137 D149:D160 D161:D165 D167:D172 D173:D184 D185:D196" formulaRange="1"/>
    <ignoredError sqref="H27 E37" formula="1"/>
    <ignoredError sqref="D16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K1">
      <selection activeCell="J11" sqref="J11"/>
    </sheetView>
  </sheetViews>
  <sheetFormatPr defaultColWidth="9.140625" defaultRowHeight="12.75"/>
  <cols>
    <col min="1" max="1" width="11.8515625" style="0" bestFit="1" customWidth="1"/>
    <col min="2" max="2" width="11.140625" style="0" bestFit="1" customWidth="1"/>
    <col min="3" max="4" width="9.7109375" style="0" bestFit="1" customWidth="1"/>
    <col min="5" max="5" width="9.7109375" style="0" customWidth="1"/>
    <col min="6" max="7" width="9.7109375" style="0" bestFit="1" customWidth="1"/>
    <col min="8" max="8" width="9.28125" style="0" bestFit="1" customWidth="1"/>
    <col min="9" max="10" width="9.28125" style="0" customWidth="1"/>
  </cols>
  <sheetData>
    <row r="3" spans="1:3" ht="12.75">
      <c r="A3" s="1"/>
      <c r="B3" s="1"/>
      <c r="C3" s="1"/>
    </row>
    <row r="4" spans="1:11" ht="27.75" customHeight="1">
      <c r="A4" s="52" t="s">
        <v>54</v>
      </c>
      <c r="B4" s="53" t="s">
        <v>55</v>
      </c>
      <c r="C4" s="25" t="s">
        <v>56</v>
      </c>
      <c r="D4" s="25" t="s">
        <v>64</v>
      </c>
      <c r="E4" s="25" t="s">
        <v>80</v>
      </c>
      <c r="F4" s="25" t="s">
        <v>93</v>
      </c>
      <c r="G4" s="25" t="s">
        <v>107</v>
      </c>
      <c r="H4" s="25" t="s">
        <v>118</v>
      </c>
      <c r="I4" s="25" t="s">
        <v>138</v>
      </c>
      <c r="J4" s="25" t="s">
        <v>146</v>
      </c>
      <c r="K4" s="276" t="s">
        <v>147</v>
      </c>
    </row>
    <row r="5" spans="1:11" ht="12.75">
      <c r="A5" s="4" t="s">
        <v>31</v>
      </c>
      <c r="B5" s="26">
        <v>637200</v>
      </c>
      <c r="C5" s="3">
        <v>801100</v>
      </c>
      <c r="D5" s="3">
        <v>833600</v>
      </c>
      <c r="E5" s="3">
        <v>523900</v>
      </c>
      <c r="F5" s="3">
        <v>470500</v>
      </c>
      <c r="G5" s="3">
        <v>479700</v>
      </c>
      <c r="H5" s="3">
        <v>514200</v>
      </c>
      <c r="I5" s="3">
        <v>504500</v>
      </c>
      <c r="J5" s="274">
        <f>412300+53400</f>
        <v>465700</v>
      </c>
      <c r="K5" s="3">
        <f>AVERAGE(E5:J5)</f>
        <v>493083.3333333333</v>
      </c>
    </row>
    <row r="6" spans="1:11" ht="12.75">
      <c r="A6" s="4" t="s">
        <v>32</v>
      </c>
      <c r="B6" s="12">
        <f>622300+99800</f>
        <v>722100</v>
      </c>
      <c r="C6" s="3">
        <v>742600</v>
      </c>
      <c r="D6" s="3">
        <v>761600</v>
      </c>
      <c r="E6" s="3">
        <v>570100</v>
      </c>
      <c r="F6" s="3">
        <v>487300</v>
      </c>
      <c r="G6" s="3">
        <v>580800</v>
      </c>
      <c r="H6" s="3">
        <v>551000</v>
      </c>
      <c r="I6" s="3">
        <v>478700</v>
      </c>
      <c r="J6" s="275">
        <f>399000+64400</f>
        <v>463400</v>
      </c>
      <c r="K6" s="3">
        <f>AVERAGE(E6:J6)</f>
        <v>521883.3333333333</v>
      </c>
    </row>
    <row r="7" spans="1:11" ht="12.75">
      <c r="A7" s="4" t="s">
        <v>33</v>
      </c>
      <c r="B7" s="3">
        <f>715400+109200</f>
        <v>824600</v>
      </c>
      <c r="C7" s="3">
        <v>783400</v>
      </c>
      <c r="D7" s="3">
        <v>749600</v>
      </c>
      <c r="E7" s="3">
        <v>615900</v>
      </c>
      <c r="F7" s="3">
        <v>574500</v>
      </c>
      <c r="G7" s="3">
        <v>590800</v>
      </c>
      <c r="H7" s="3">
        <v>573000</v>
      </c>
      <c r="I7" s="3">
        <v>675700</v>
      </c>
      <c r="J7" s="195">
        <f>496300+64400</f>
        <v>560700</v>
      </c>
      <c r="K7" s="3">
        <f aca="true" t="shared" si="0" ref="K7:K16">AVERAGE(E7:J7)</f>
        <v>598433.3333333334</v>
      </c>
    </row>
    <row r="8" spans="1:11" ht="12.75">
      <c r="A8" s="4" t="s">
        <v>34</v>
      </c>
      <c r="B8" s="3">
        <v>848600</v>
      </c>
      <c r="C8" s="3">
        <v>819700</v>
      </c>
      <c r="D8" s="3">
        <v>841900</v>
      </c>
      <c r="E8" s="3">
        <v>618700</v>
      </c>
      <c r="F8" s="3">
        <v>612200</v>
      </c>
      <c r="G8" s="3">
        <v>617600</v>
      </c>
      <c r="H8" s="3">
        <v>675200</v>
      </c>
      <c r="I8" s="3">
        <v>630500</v>
      </c>
      <c r="J8" s="195">
        <f>501900+84800</f>
        <v>586700</v>
      </c>
      <c r="K8" s="3">
        <f t="shared" si="0"/>
        <v>623483.3333333334</v>
      </c>
    </row>
    <row r="9" spans="1:11" ht="12.75">
      <c r="A9" s="4" t="s">
        <v>35</v>
      </c>
      <c r="B9" s="3">
        <v>883200</v>
      </c>
      <c r="C9" s="3">
        <v>779000</v>
      </c>
      <c r="D9" s="3">
        <v>684700</v>
      </c>
      <c r="E9" s="3">
        <v>678400</v>
      </c>
      <c r="F9" s="3">
        <v>620700</v>
      </c>
      <c r="G9" s="3">
        <v>705000</v>
      </c>
      <c r="H9" s="3">
        <v>600300</v>
      </c>
      <c r="I9" s="3">
        <v>598000</v>
      </c>
      <c r="J9" s="195">
        <f>515900+78000</f>
        <v>593900</v>
      </c>
      <c r="K9" s="3">
        <f t="shared" si="0"/>
        <v>632716.6666666666</v>
      </c>
    </row>
    <row r="10" spans="1:11" ht="12.75">
      <c r="A10" s="4" t="s">
        <v>36</v>
      </c>
      <c r="B10" s="3">
        <v>850500</v>
      </c>
      <c r="C10" s="3">
        <v>824600</v>
      </c>
      <c r="D10" s="3">
        <v>688200</v>
      </c>
      <c r="E10" s="3">
        <v>575200</v>
      </c>
      <c r="F10" s="3">
        <v>622600</v>
      </c>
      <c r="G10" s="3">
        <v>617200</v>
      </c>
      <c r="H10" s="3">
        <v>582700</v>
      </c>
      <c r="I10" s="3">
        <v>589000</v>
      </c>
      <c r="J10" s="195">
        <f>543200+74600</f>
        <v>617800</v>
      </c>
      <c r="K10" s="3">
        <f t="shared" si="0"/>
        <v>600750</v>
      </c>
    </row>
    <row r="11" spans="1:11" ht="12.75">
      <c r="A11" s="4" t="s">
        <v>37</v>
      </c>
      <c r="B11" s="3">
        <v>701300</v>
      </c>
      <c r="C11" s="3">
        <v>889600</v>
      </c>
      <c r="D11" s="3">
        <v>536800</v>
      </c>
      <c r="E11" s="3">
        <v>542500</v>
      </c>
      <c r="F11" s="3">
        <v>483100</v>
      </c>
      <c r="G11" s="3">
        <v>544400</v>
      </c>
      <c r="H11" s="3">
        <v>577300</v>
      </c>
      <c r="I11" s="3">
        <v>448100</v>
      </c>
      <c r="J11" s="3"/>
      <c r="K11" s="3">
        <f t="shared" si="0"/>
        <v>519080</v>
      </c>
    </row>
    <row r="12" spans="1:11" ht="12.75">
      <c r="A12" s="4" t="s">
        <v>38</v>
      </c>
      <c r="B12" s="3">
        <v>752200</v>
      </c>
      <c r="C12" s="3">
        <v>688200</v>
      </c>
      <c r="D12" s="3">
        <v>504300</v>
      </c>
      <c r="E12" s="3">
        <v>536900</v>
      </c>
      <c r="F12" s="3">
        <v>509300</v>
      </c>
      <c r="G12" s="3">
        <v>524100</v>
      </c>
      <c r="H12" s="3">
        <v>533300</v>
      </c>
      <c r="I12" s="3">
        <v>454300</v>
      </c>
      <c r="J12" s="3"/>
      <c r="K12" s="3">
        <f t="shared" si="0"/>
        <v>511580</v>
      </c>
    </row>
    <row r="13" spans="1:11" ht="12.75">
      <c r="A13" s="4" t="s">
        <v>39</v>
      </c>
      <c r="B13" s="3">
        <v>883600</v>
      </c>
      <c r="C13" s="3">
        <v>814000</v>
      </c>
      <c r="D13" s="3">
        <v>535400</v>
      </c>
      <c r="E13" s="3">
        <v>598100</v>
      </c>
      <c r="F13" s="3">
        <v>456600</v>
      </c>
      <c r="G13" s="3">
        <v>600300</v>
      </c>
      <c r="H13" s="3">
        <v>467800</v>
      </c>
      <c r="I13" s="3">
        <v>426600</v>
      </c>
      <c r="J13" s="3"/>
      <c r="K13" s="3">
        <f t="shared" si="0"/>
        <v>509880</v>
      </c>
    </row>
    <row r="14" spans="1:11" ht="12.75">
      <c r="A14" s="4" t="s">
        <v>40</v>
      </c>
      <c r="B14" s="3">
        <v>868500</v>
      </c>
      <c r="C14" s="3">
        <v>872700</v>
      </c>
      <c r="D14" s="3">
        <v>561800</v>
      </c>
      <c r="E14" s="3">
        <v>539700</v>
      </c>
      <c r="F14" s="3">
        <v>498400</v>
      </c>
      <c r="G14" s="3">
        <v>607100</v>
      </c>
      <c r="H14" s="3">
        <v>465600</v>
      </c>
      <c r="I14" s="3">
        <v>449600</v>
      </c>
      <c r="J14" s="3"/>
      <c r="K14" s="3">
        <f t="shared" si="0"/>
        <v>512080</v>
      </c>
    </row>
    <row r="15" spans="1:11" ht="12.75">
      <c r="A15" s="4" t="s">
        <v>41</v>
      </c>
      <c r="B15" s="3">
        <v>724100</v>
      </c>
      <c r="C15" s="3">
        <v>766300</v>
      </c>
      <c r="D15" s="3">
        <v>498300</v>
      </c>
      <c r="E15" s="3">
        <v>513500</v>
      </c>
      <c r="F15" s="3">
        <v>540700</v>
      </c>
      <c r="G15" s="3">
        <v>522000</v>
      </c>
      <c r="H15" s="3">
        <v>453300</v>
      </c>
      <c r="I15" s="3">
        <v>417200</v>
      </c>
      <c r="J15" s="3"/>
      <c r="K15" s="3">
        <f t="shared" si="0"/>
        <v>489340</v>
      </c>
    </row>
    <row r="16" spans="1:11" ht="12.75">
      <c r="A16" s="4" t="s">
        <v>42</v>
      </c>
      <c r="B16" s="3">
        <v>780300</v>
      </c>
      <c r="C16" s="3">
        <v>784800</v>
      </c>
      <c r="D16" s="3">
        <v>490100</v>
      </c>
      <c r="E16" s="3">
        <v>545800</v>
      </c>
      <c r="F16" s="3">
        <v>482900</v>
      </c>
      <c r="G16" s="3">
        <v>536900</v>
      </c>
      <c r="H16" s="3">
        <v>473100</v>
      </c>
      <c r="I16" s="3">
        <v>414500</v>
      </c>
      <c r="J16" s="3"/>
      <c r="K16" s="3">
        <f t="shared" si="0"/>
        <v>490640</v>
      </c>
    </row>
    <row r="25" spans="1:10" ht="12.75">
      <c r="A25" t="s">
        <v>60</v>
      </c>
      <c r="B25" s="16">
        <f aca="true" t="shared" si="1" ref="B25:G25">SUM(B5:B16)</f>
        <v>9476200</v>
      </c>
      <c r="C25" s="16">
        <f t="shared" si="1"/>
        <v>9566000</v>
      </c>
      <c r="D25" s="16">
        <f t="shared" si="1"/>
        <v>7686300</v>
      </c>
      <c r="E25" s="16">
        <f t="shared" si="1"/>
        <v>6858700</v>
      </c>
      <c r="F25" s="16">
        <f t="shared" si="1"/>
        <v>6358800</v>
      </c>
      <c r="G25" s="16">
        <f t="shared" si="1"/>
        <v>6925900</v>
      </c>
      <c r="H25" s="16">
        <f>SUM(H5:H16)</f>
        <v>6466800</v>
      </c>
      <c r="I25" s="16">
        <f>SUM(I5:I16)</f>
        <v>6086700</v>
      </c>
      <c r="J25" s="16">
        <f>SUM(J5:J16)</f>
        <v>3288200</v>
      </c>
    </row>
    <row r="30" ht="12.75">
      <c r="E30" s="16"/>
    </row>
  </sheetData>
  <sheetProtection/>
  <printOptions/>
  <pageMargins left="0.7" right="0.7" top="0.75" bottom="0.75" header="0.3" footer="0.3"/>
  <pageSetup orientation="portrait" r:id="rId2"/>
  <ignoredErrors>
    <ignoredError sqref="K11:K1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86"/>
  <sheetViews>
    <sheetView zoomScalePageLayoutView="0" workbookViewId="0" topLeftCell="G1">
      <selection activeCell="L71" sqref="L71"/>
    </sheetView>
  </sheetViews>
  <sheetFormatPr defaultColWidth="9.140625" defaultRowHeight="12.75"/>
  <cols>
    <col min="1" max="1" width="11.8515625" style="0" bestFit="1" customWidth="1"/>
    <col min="2" max="2" width="11.140625" style="0" bestFit="1" customWidth="1"/>
    <col min="3" max="3" width="9.7109375" style="0" bestFit="1" customWidth="1"/>
  </cols>
  <sheetData>
    <row r="3" spans="1:3" ht="12.75">
      <c r="A3" s="1"/>
      <c r="B3" s="1"/>
      <c r="C3" s="1"/>
    </row>
    <row r="4" spans="1:3" ht="27.75" customHeight="1">
      <c r="A4" s="111" t="s">
        <v>54</v>
      </c>
      <c r="B4" s="112" t="s">
        <v>167</v>
      </c>
      <c r="C4" s="70" t="s">
        <v>166</v>
      </c>
    </row>
    <row r="5" spans="1:3" ht="12.75">
      <c r="A5" s="113" t="s">
        <v>31</v>
      </c>
      <c r="B5" s="114">
        <v>637200</v>
      </c>
      <c r="C5">
        <v>2008</v>
      </c>
    </row>
    <row r="6" spans="1:2" ht="12.75">
      <c r="A6" s="113" t="s">
        <v>32</v>
      </c>
      <c r="B6" s="115">
        <f>622300+99800</f>
        <v>722100</v>
      </c>
    </row>
    <row r="7" spans="1:2" ht="12.75">
      <c r="A7" s="113" t="s">
        <v>33</v>
      </c>
      <c r="B7" s="110">
        <f>715400+109200</f>
        <v>824600</v>
      </c>
    </row>
    <row r="8" spans="1:2" ht="12.75">
      <c r="A8" s="113" t="s">
        <v>34</v>
      </c>
      <c r="B8" s="110">
        <v>848600</v>
      </c>
    </row>
    <row r="9" spans="1:2" ht="12.75">
      <c r="A9" s="113" t="s">
        <v>35</v>
      </c>
      <c r="B9" s="110">
        <v>883200</v>
      </c>
    </row>
    <row r="10" spans="1:2" ht="12.75">
      <c r="A10" s="113" t="s">
        <v>36</v>
      </c>
      <c r="B10" s="110">
        <v>850500</v>
      </c>
    </row>
    <row r="11" spans="1:2" ht="12.75">
      <c r="A11" s="113" t="s">
        <v>37</v>
      </c>
      <c r="B11" s="110">
        <v>701300</v>
      </c>
    </row>
    <row r="12" spans="1:2" ht="12.75">
      <c r="A12" s="113" t="s">
        <v>38</v>
      </c>
      <c r="B12" s="110">
        <v>752200</v>
      </c>
    </row>
    <row r="13" spans="1:3" ht="12.75">
      <c r="A13" s="113" t="s">
        <v>39</v>
      </c>
      <c r="B13" s="110">
        <v>883600</v>
      </c>
      <c r="C13" s="110"/>
    </row>
    <row r="14" spans="1:3" ht="12.75">
      <c r="A14" s="113" t="s">
        <v>40</v>
      </c>
      <c r="B14" s="110">
        <v>868500</v>
      </c>
      <c r="C14" s="110"/>
    </row>
    <row r="15" spans="1:3" ht="12.75">
      <c r="A15" s="113" t="s">
        <v>41</v>
      </c>
      <c r="B15" s="110">
        <v>724100</v>
      </c>
      <c r="C15" s="110"/>
    </row>
    <row r="16" spans="1:3" ht="12.75">
      <c r="A16" s="113" t="s">
        <v>42</v>
      </c>
      <c r="B16" s="110">
        <v>780300</v>
      </c>
      <c r="C16" s="110"/>
    </row>
    <row r="17" spans="1:3" ht="12.75">
      <c r="A17" s="113" t="s">
        <v>31</v>
      </c>
      <c r="B17" s="110">
        <v>801100</v>
      </c>
      <c r="C17">
        <v>2009</v>
      </c>
    </row>
    <row r="18" spans="1:2" ht="12.75">
      <c r="A18" s="113" t="s">
        <v>32</v>
      </c>
      <c r="B18" s="110">
        <v>742600</v>
      </c>
    </row>
    <row r="19" spans="1:2" ht="12.75">
      <c r="A19" s="113" t="s">
        <v>33</v>
      </c>
      <c r="B19" s="110">
        <v>783400</v>
      </c>
    </row>
    <row r="20" spans="1:2" ht="12.75">
      <c r="A20" s="113" t="s">
        <v>34</v>
      </c>
      <c r="B20" s="110">
        <v>819700</v>
      </c>
    </row>
    <row r="21" spans="1:2" ht="12.75">
      <c r="A21" s="113" t="s">
        <v>35</v>
      </c>
      <c r="B21" s="110">
        <v>779000</v>
      </c>
    </row>
    <row r="22" spans="1:2" ht="12.75">
      <c r="A22" s="113" t="s">
        <v>36</v>
      </c>
      <c r="B22" s="110">
        <v>824600</v>
      </c>
    </row>
    <row r="23" spans="1:2" ht="12.75">
      <c r="A23" s="113" t="s">
        <v>37</v>
      </c>
      <c r="B23" s="110">
        <v>889600</v>
      </c>
    </row>
    <row r="24" spans="1:2" ht="12.75">
      <c r="A24" s="113" t="s">
        <v>38</v>
      </c>
      <c r="B24" s="110">
        <v>688200</v>
      </c>
    </row>
    <row r="25" spans="1:3" ht="12.75">
      <c r="A25" s="113" t="s">
        <v>39</v>
      </c>
      <c r="B25" s="110">
        <v>814000</v>
      </c>
      <c r="C25" s="16"/>
    </row>
    <row r="26" spans="1:2" ht="12.75">
      <c r="A26" s="113" t="s">
        <v>40</v>
      </c>
      <c r="B26" s="116">
        <v>872700</v>
      </c>
    </row>
    <row r="27" spans="1:2" ht="12.75">
      <c r="A27" s="113" t="s">
        <v>41</v>
      </c>
      <c r="B27" s="110">
        <v>766300</v>
      </c>
    </row>
    <row r="28" spans="1:2" ht="12.75">
      <c r="A28" s="113" t="s">
        <v>42</v>
      </c>
      <c r="B28" s="110">
        <v>784800</v>
      </c>
    </row>
    <row r="29" spans="1:3" ht="12.75">
      <c r="A29" s="117" t="s">
        <v>31</v>
      </c>
      <c r="B29" s="116">
        <v>833600</v>
      </c>
      <c r="C29">
        <v>2010</v>
      </c>
    </row>
    <row r="30" spans="1:2" ht="12.75">
      <c r="A30" s="117" t="s">
        <v>32</v>
      </c>
      <c r="B30" s="116">
        <v>761600</v>
      </c>
    </row>
    <row r="31" spans="1:2" ht="12.75">
      <c r="A31" s="117" t="s">
        <v>33</v>
      </c>
      <c r="B31" s="116">
        <v>749600</v>
      </c>
    </row>
    <row r="32" spans="1:2" ht="12.75">
      <c r="A32" s="117" t="s">
        <v>34</v>
      </c>
      <c r="B32" s="116">
        <v>841900</v>
      </c>
    </row>
    <row r="33" spans="1:2" ht="12.75">
      <c r="A33" s="117" t="s">
        <v>35</v>
      </c>
      <c r="B33" s="116">
        <v>684700</v>
      </c>
    </row>
    <row r="34" spans="1:2" ht="12.75">
      <c r="A34" s="117" t="s">
        <v>36</v>
      </c>
      <c r="B34" s="116">
        <v>688200</v>
      </c>
    </row>
    <row r="35" spans="1:2" ht="12.75">
      <c r="A35" s="117" t="s">
        <v>37</v>
      </c>
      <c r="B35" s="116">
        <v>536800</v>
      </c>
    </row>
    <row r="36" spans="1:2" ht="12.75">
      <c r="A36" s="117" t="s">
        <v>38</v>
      </c>
      <c r="B36" s="116">
        <v>504300</v>
      </c>
    </row>
    <row r="37" spans="1:2" ht="12.75">
      <c r="A37" s="117" t="s">
        <v>39</v>
      </c>
      <c r="B37" s="116">
        <v>535400</v>
      </c>
    </row>
    <row r="38" spans="1:2" ht="12.75">
      <c r="A38" s="118" t="s">
        <v>40</v>
      </c>
      <c r="B38" s="116">
        <v>561800</v>
      </c>
    </row>
    <row r="39" spans="1:2" ht="12.75">
      <c r="A39" s="118" t="s">
        <v>41</v>
      </c>
      <c r="B39" s="116">
        <v>498300</v>
      </c>
    </row>
    <row r="40" spans="1:2" ht="12.75">
      <c r="A40" s="118" t="s">
        <v>42</v>
      </c>
      <c r="B40" s="16">
        <v>490100</v>
      </c>
    </row>
    <row r="41" spans="1:3" ht="12.75">
      <c r="A41" s="118" t="s">
        <v>31</v>
      </c>
      <c r="B41" s="16">
        <v>523900</v>
      </c>
      <c r="C41">
        <v>2011</v>
      </c>
    </row>
    <row r="42" spans="1:2" ht="12.75">
      <c r="A42" s="118" t="s">
        <v>32</v>
      </c>
      <c r="B42" s="16">
        <v>570100</v>
      </c>
    </row>
    <row r="43" spans="1:2" ht="12.75">
      <c r="A43" s="118" t="s">
        <v>33</v>
      </c>
      <c r="B43" s="16">
        <v>615900</v>
      </c>
    </row>
    <row r="44" spans="1:2" ht="12.75">
      <c r="A44" s="118" t="s">
        <v>34</v>
      </c>
      <c r="B44" s="16">
        <v>618700</v>
      </c>
    </row>
    <row r="45" spans="1:2" ht="12.75">
      <c r="A45" s="118" t="s">
        <v>35</v>
      </c>
      <c r="B45" s="16">
        <v>678400</v>
      </c>
    </row>
    <row r="46" spans="1:2" ht="12.75">
      <c r="A46" s="118" t="s">
        <v>36</v>
      </c>
      <c r="B46" s="16">
        <v>575200</v>
      </c>
    </row>
    <row r="47" spans="1:2" ht="12.75">
      <c r="A47" s="118" t="s">
        <v>37</v>
      </c>
      <c r="B47" s="16">
        <v>542500</v>
      </c>
    </row>
    <row r="48" spans="1:2" ht="12.75">
      <c r="A48" s="118" t="s">
        <v>38</v>
      </c>
      <c r="B48" s="16">
        <v>536900</v>
      </c>
    </row>
    <row r="49" spans="1:2" ht="12.75">
      <c r="A49" s="118" t="s">
        <v>39</v>
      </c>
      <c r="B49" s="16">
        <v>598100</v>
      </c>
    </row>
    <row r="50" spans="1:2" ht="12.75">
      <c r="A50" s="118" t="s">
        <v>40</v>
      </c>
      <c r="B50" s="16">
        <v>539700</v>
      </c>
    </row>
    <row r="51" spans="1:2" ht="12.75">
      <c r="A51" s="118" t="s">
        <v>41</v>
      </c>
      <c r="B51" s="16">
        <v>513500</v>
      </c>
    </row>
    <row r="52" spans="1:2" ht="12.75">
      <c r="A52" s="118" t="s">
        <v>42</v>
      </c>
      <c r="B52" s="16">
        <v>545800</v>
      </c>
    </row>
    <row r="53" spans="1:3" ht="12.75">
      <c r="A53" s="118" t="s">
        <v>31</v>
      </c>
      <c r="B53" s="16">
        <v>470500</v>
      </c>
      <c r="C53">
        <v>2012</v>
      </c>
    </row>
    <row r="54" spans="1:2" ht="12.75">
      <c r="A54" s="118" t="s">
        <v>32</v>
      </c>
      <c r="B54" s="16">
        <v>487300</v>
      </c>
    </row>
    <row r="55" spans="1:2" ht="12.75">
      <c r="A55" s="118" t="s">
        <v>33</v>
      </c>
      <c r="B55" s="16">
        <v>574500</v>
      </c>
    </row>
    <row r="56" spans="1:2" ht="12.75">
      <c r="A56" s="118" t="s">
        <v>34</v>
      </c>
      <c r="B56" s="16">
        <v>612200</v>
      </c>
    </row>
    <row r="57" spans="1:2" ht="12.75">
      <c r="A57" s="118" t="s">
        <v>35</v>
      </c>
      <c r="B57" s="16">
        <v>620700</v>
      </c>
    </row>
    <row r="58" spans="1:2" ht="12.75">
      <c r="A58" s="118" t="s">
        <v>36</v>
      </c>
      <c r="B58" s="16">
        <v>622600</v>
      </c>
    </row>
    <row r="59" spans="1:2" ht="12.75">
      <c r="A59" s="118" t="s">
        <v>37</v>
      </c>
      <c r="B59" s="16">
        <v>483100</v>
      </c>
    </row>
    <row r="60" spans="1:2" ht="12.75">
      <c r="A60" s="118" t="s">
        <v>38</v>
      </c>
      <c r="B60" s="16">
        <v>509300</v>
      </c>
    </row>
    <row r="61" spans="1:2" ht="12.75">
      <c r="A61" s="118" t="s">
        <v>39</v>
      </c>
      <c r="B61" s="16">
        <v>456600</v>
      </c>
    </row>
    <row r="62" spans="1:2" ht="12.75">
      <c r="A62" s="118" t="s">
        <v>40</v>
      </c>
      <c r="B62" s="16">
        <v>498400</v>
      </c>
    </row>
    <row r="63" spans="1:2" ht="12.75">
      <c r="A63" s="118" t="s">
        <v>41</v>
      </c>
      <c r="B63" s="16">
        <v>540700</v>
      </c>
    </row>
    <row r="64" spans="1:2" ht="12.75">
      <c r="A64" s="118" t="s">
        <v>42</v>
      </c>
      <c r="B64" s="16">
        <v>482900</v>
      </c>
    </row>
    <row r="65" spans="1:3" ht="12.75">
      <c r="A65" s="118" t="s">
        <v>31</v>
      </c>
      <c r="B65" s="16">
        <v>479700</v>
      </c>
      <c r="C65">
        <v>2013</v>
      </c>
    </row>
    <row r="66" spans="1:2" ht="12.75">
      <c r="A66" s="118" t="s">
        <v>32</v>
      </c>
      <c r="B66" s="16">
        <v>580800</v>
      </c>
    </row>
    <row r="67" spans="1:2" ht="12.75">
      <c r="A67" s="118" t="s">
        <v>33</v>
      </c>
      <c r="B67" s="16">
        <v>590800</v>
      </c>
    </row>
    <row r="68" spans="1:2" ht="12.75">
      <c r="A68" s="118" t="s">
        <v>34</v>
      </c>
      <c r="B68" s="16">
        <v>617600</v>
      </c>
    </row>
    <row r="69" spans="1:2" ht="12.75">
      <c r="A69" s="118" t="s">
        <v>35</v>
      </c>
      <c r="B69" s="16">
        <v>705000</v>
      </c>
    </row>
    <row r="70" spans="1:2" ht="12.75">
      <c r="A70" s="118" t="s">
        <v>36</v>
      </c>
      <c r="B70" s="16">
        <v>617200</v>
      </c>
    </row>
    <row r="71" spans="1:2" ht="12.75">
      <c r="A71" s="118" t="s">
        <v>37</v>
      </c>
      <c r="B71" s="16">
        <v>544400</v>
      </c>
    </row>
    <row r="72" spans="1:2" ht="12.75">
      <c r="A72" s="118" t="s">
        <v>38</v>
      </c>
      <c r="B72" s="16">
        <v>524100</v>
      </c>
    </row>
    <row r="73" spans="1:2" ht="12.75">
      <c r="A73" s="118" t="s">
        <v>39</v>
      </c>
      <c r="B73" s="16">
        <v>600300</v>
      </c>
    </row>
    <row r="74" spans="1:2" ht="12.75">
      <c r="A74" s="118" t="s">
        <v>40</v>
      </c>
      <c r="B74" s="16">
        <v>607100</v>
      </c>
    </row>
    <row r="75" spans="1:2" ht="12.75">
      <c r="A75" s="118" t="s">
        <v>41</v>
      </c>
      <c r="B75" s="16">
        <v>522000</v>
      </c>
    </row>
    <row r="76" spans="1:2" ht="12.75">
      <c r="A76" s="118" t="s">
        <v>42</v>
      </c>
      <c r="B76" s="16">
        <v>536900</v>
      </c>
    </row>
    <row r="77" spans="1:3" ht="12.75">
      <c r="A77" s="118" t="s">
        <v>31</v>
      </c>
      <c r="B77" s="16">
        <v>514200</v>
      </c>
      <c r="C77">
        <v>2014</v>
      </c>
    </row>
    <row r="78" spans="1:2" ht="12.75">
      <c r="A78" s="118" t="s">
        <v>32</v>
      </c>
      <c r="B78" s="16">
        <v>551000</v>
      </c>
    </row>
    <row r="79" spans="1:2" ht="12.75">
      <c r="A79" s="118" t="s">
        <v>33</v>
      </c>
      <c r="B79" s="16">
        <v>573000</v>
      </c>
    </row>
    <row r="80" spans="1:2" ht="12.75">
      <c r="A80" s="118" t="s">
        <v>34</v>
      </c>
      <c r="B80" s="16">
        <v>675200</v>
      </c>
    </row>
    <row r="81" spans="1:2" ht="12.75">
      <c r="A81" s="118" t="s">
        <v>35</v>
      </c>
      <c r="B81" s="16">
        <v>600300</v>
      </c>
    </row>
    <row r="82" spans="1:2" ht="12.75">
      <c r="A82" s="118" t="s">
        <v>36</v>
      </c>
      <c r="B82" s="16">
        <v>582700</v>
      </c>
    </row>
    <row r="83" spans="1:2" ht="12.75">
      <c r="A83" s="118" t="s">
        <v>37</v>
      </c>
      <c r="B83" s="16">
        <v>577300</v>
      </c>
    </row>
    <row r="84" spans="1:2" ht="12.75">
      <c r="A84" s="118" t="s">
        <v>38</v>
      </c>
      <c r="B84" s="16">
        <v>533300</v>
      </c>
    </row>
    <row r="85" spans="1:2" ht="12.75">
      <c r="A85" s="118" t="s">
        <v>39</v>
      </c>
      <c r="B85" s="16">
        <v>467800</v>
      </c>
    </row>
    <row r="86" spans="1:2" ht="12.75">
      <c r="A86" s="118" t="s">
        <v>40</v>
      </c>
      <c r="B86" s="16">
        <v>528600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3"/>
  <sheetViews>
    <sheetView zoomScale="90" zoomScaleNormal="90" zoomScalePageLayoutView="0" workbookViewId="0" topLeftCell="Q1">
      <selection activeCell="E97" sqref="E97"/>
    </sheetView>
  </sheetViews>
  <sheetFormatPr defaultColWidth="9.140625" defaultRowHeight="12.75"/>
  <cols>
    <col min="2" max="2" width="11.8515625" style="1" bestFit="1" customWidth="1"/>
    <col min="3" max="3" width="14.00390625" style="0" bestFit="1" customWidth="1"/>
  </cols>
  <sheetData>
    <row r="1" ht="6" customHeight="1"/>
    <row r="2" spans="2:4" ht="42.75" customHeight="1">
      <c r="B2" s="19" t="s">
        <v>70</v>
      </c>
      <c r="C2" s="19" t="s">
        <v>69</v>
      </c>
      <c r="D2" s="19" t="s">
        <v>68</v>
      </c>
    </row>
    <row r="3" spans="2:5" ht="12.75">
      <c r="B3" s="104">
        <f>622300+99800</f>
        <v>722100</v>
      </c>
      <c r="C3" s="106">
        <v>247.607</v>
      </c>
      <c r="D3" s="17" t="s">
        <v>32</v>
      </c>
      <c r="E3">
        <v>2008</v>
      </c>
    </row>
    <row r="4" spans="2:4" ht="12.75">
      <c r="B4" s="105">
        <f>715400+109200</f>
        <v>824600</v>
      </c>
      <c r="C4" s="106">
        <v>321.529</v>
      </c>
      <c r="D4" s="17" t="s">
        <v>33</v>
      </c>
    </row>
    <row r="5" spans="2:4" ht="12.75">
      <c r="B5" s="105">
        <v>848600</v>
      </c>
      <c r="C5" s="106">
        <v>331.92199999999997</v>
      </c>
      <c r="D5" s="17" t="s">
        <v>34</v>
      </c>
    </row>
    <row r="6" spans="2:4" ht="12.75">
      <c r="B6" s="105">
        <v>883200</v>
      </c>
      <c r="C6" s="106">
        <v>361.969</v>
      </c>
      <c r="D6" s="17" t="s">
        <v>35</v>
      </c>
    </row>
    <row r="7" spans="2:4" ht="12.75">
      <c r="B7" s="105">
        <v>850500</v>
      </c>
      <c r="C7" s="106">
        <v>331.062</v>
      </c>
      <c r="D7" s="17" t="s">
        <v>36</v>
      </c>
    </row>
    <row r="8" spans="2:4" ht="12.75">
      <c r="B8" s="105">
        <v>701300</v>
      </c>
      <c r="C8" s="106">
        <v>247.28099999999998</v>
      </c>
      <c r="D8" s="17" t="s">
        <v>37</v>
      </c>
    </row>
    <row r="9" spans="2:4" ht="12.75">
      <c r="B9" s="105">
        <v>752200</v>
      </c>
      <c r="C9" s="106">
        <v>255.45999999999998</v>
      </c>
      <c r="D9" s="17" t="s">
        <v>38</v>
      </c>
    </row>
    <row r="10" spans="2:4" ht="12.75">
      <c r="B10" s="105">
        <v>883600</v>
      </c>
      <c r="C10" s="106">
        <v>259.84</v>
      </c>
      <c r="D10" s="17" t="s">
        <v>39</v>
      </c>
    </row>
    <row r="11" spans="2:4" ht="12.75">
      <c r="B11" s="105">
        <v>868500</v>
      </c>
      <c r="C11" s="106">
        <v>262.171</v>
      </c>
      <c r="D11" s="17" t="s">
        <v>40</v>
      </c>
    </row>
    <row r="12" spans="2:4" ht="12.75">
      <c r="B12" s="105">
        <v>724100</v>
      </c>
      <c r="C12" s="106">
        <v>224.29299999999998</v>
      </c>
      <c r="D12" s="17" t="s">
        <v>41</v>
      </c>
    </row>
    <row r="13" spans="2:4" ht="12.75">
      <c r="B13" s="105">
        <v>780300</v>
      </c>
      <c r="C13" s="106">
        <v>230.47299999999998</v>
      </c>
      <c r="D13" s="17" t="s">
        <v>42</v>
      </c>
    </row>
    <row r="14" spans="2:4" ht="12.75">
      <c r="B14" s="105">
        <v>801100</v>
      </c>
      <c r="C14" s="106">
        <v>247.44299999999998</v>
      </c>
      <c r="D14" s="17" t="s">
        <v>31</v>
      </c>
    </row>
    <row r="15" spans="2:5" ht="12.75">
      <c r="B15" s="105">
        <v>742600</v>
      </c>
      <c r="C15" s="106">
        <v>248.042</v>
      </c>
      <c r="D15" s="17" t="s">
        <v>32</v>
      </c>
      <c r="E15">
        <v>2009</v>
      </c>
    </row>
    <row r="16" spans="2:4" ht="12.75">
      <c r="B16" s="105">
        <v>783400</v>
      </c>
      <c r="C16" s="106">
        <v>283.327</v>
      </c>
      <c r="D16" s="17" t="s">
        <v>33</v>
      </c>
    </row>
    <row r="17" spans="2:4" ht="12.75">
      <c r="B17" s="105">
        <v>819700</v>
      </c>
      <c r="C17" s="106">
        <v>282.383</v>
      </c>
      <c r="D17" s="17" t="s">
        <v>34</v>
      </c>
    </row>
    <row r="18" spans="2:4" ht="12.75">
      <c r="B18" s="105">
        <v>779000</v>
      </c>
      <c r="C18" s="106">
        <v>270.33</v>
      </c>
      <c r="D18" s="17" t="s">
        <v>35</v>
      </c>
    </row>
    <row r="19" spans="2:4" ht="12.75">
      <c r="B19" s="105">
        <v>824600</v>
      </c>
      <c r="C19" s="106">
        <v>308.102</v>
      </c>
      <c r="D19" s="17" t="s">
        <v>36</v>
      </c>
    </row>
    <row r="20" spans="2:4" ht="12.75">
      <c r="B20" s="105">
        <v>889600</v>
      </c>
      <c r="C20" s="106">
        <v>282.544</v>
      </c>
      <c r="D20" s="17" t="s">
        <v>37</v>
      </c>
    </row>
    <row r="21" spans="2:4" ht="12.75">
      <c r="B21" s="105">
        <v>688200</v>
      </c>
      <c r="C21" s="106">
        <v>228.391</v>
      </c>
      <c r="D21" s="17" t="s">
        <v>38</v>
      </c>
    </row>
    <row r="22" spans="2:4" ht="12.75">
      <c r="B22" s="105">
        <v>814000</v>
      </c>
      <c r="C22" s="106">
        <v>233.97699999999998</v>
      </c>
      <c r="D22" s="17" t="s">
        <v>39</v>
      </c>
    </row>
    <row r="23" spans="2:4" ht="12.75">
      <c r="B23" s="105">
        <v>872700</v>
      </c>
      <c r="C23" s="106">
        <v>253.60899999999998</v>
      </c>
      <c r="D23" s="17" t="s">
        <v>40</v>
      </c>
    </row>
    <row r="24" spans="2:4" ht="12.75">
      <c r="B24" s="105">
        <v>766300</v>
      </c>
      <c r="C24" s="106">
        <v>227.457</v>
      </c>
      <c r="D24" s="17" t="s">
        <v>41</v>
      </c>
    </row>
    <row r="25" spans="2:4" ht="12.75">
      <c r="B25" s="105">
        <v>784800</v>
      </c>
      <c r="C25" s="106">
        <v>227.262</v>
      </c>
      <c r="D25" s="17" t="s">
        <v>42</v>
      </c>
    </row>
    <row r="26" spans="2:4" ht="12.75">
      <c r="B26" s="105">
        <v>833600</v>
      </c>
      <c r="C26" s="106">
        <v>248.427</v>
      </c>
      <c r="D26" s="17" t="s">
        <v>31</v>
      </c>
    </row>
    <row r="27" spans="2:5" ht="12.75">
      <c r="B27" s="105">
        <v>761600</v>
      </c>
      <c r="C27" s="106">
        <v>236.88299999999998</v>
      </c>
      <c r="D27" s="17" t="s">
        <v>32</v>
      </c>
      <c r="E27">
        <v>2010</v>
      </c>
    </row>
    <row r="28" spans="2:4" ht="12.75">
      <c r="B28" s="105">
        <v>749600</v>
      </c>
      <c r="C28" s="106">
        <v>281.376</v>
      </c>
      <c r="D28" s="17" t="s">
        <v>33</v>
      </c>
    </row>
    <row r="29" spans="2:4" ht="12.75">
      <c r="B29" s="105">
        <v>841900</v>
      </c>
      <c r="C29" s="106">
        <v>366.238</v>
      </c>
      <c r="D29" s="17" t="s">
        <v>34</v>
      </c>
    </row>
    <row r="30" spans="2:4" ht="12.75">
      <c r="B30" s="105">
        <v>684700</v>
      </c>
      <c r="C30" s="106">
        <v>313.284</v>
      </c>
      <c r="D30" s="17" t="s">
        <v>35</v>
      </c>
    </row>
    <row r="31" spans="2:4" ht="12.75">
      <c r="B31" s="105">
        <v>688200</v>
      </c>
      <c r="C31" s="106">
        <v>324.753</v>
      </c>
      <c r="D31" s="17" t="s">
        <v>36</v>
      </c>
    </row>
    <row r="32" spans="2:4" ht="12.75">
      <c r="B32" s="105">
        <v>536800</v>
      </c>
      <c r="C32" s="106">
        <v>248.938</v>
      </c>
      <c r="D32" s="17" t="s">
        <v>37</v>
      </c>
    </row>
    <row r="33" spans="2:4" ht="12.75">
      <c r="B33" s="109">
        <v>504300</v>
      </c>
      <c r="C33" s="106">
        <v>220.017</v>
      </c>
      <c r="D33" s="17" t="s">
        <v>38</v>
      </c>
    </row>
    <row r="34" spans="2:4" ht="12.75">
      <c r="B34" s="109">
        <v>535400</v>
      </c>
      <c r="C34" s="106">
        <v>224.094</v>
      </c>
      <c r="D34" s="17" t="s">
        <v>39</v>
      </c>
    </row>
    <row r="35" spans="2:4" ht="12.75">
      <c r="B35" s="1">
        <v>561800</v>
      </c>
      <c r="C35" s="106">
        <v>228.356</v>
      </c>
      <c r="D35" s="17" t="s">
        <v>40</v>
      </c>
    </row>
    <row r="36" spans="2:4" ht="12.75">
      <c r="B36" s="109">
        <v>498300</v>
      </c>
      <c r="C36" s="106">
        <v>206.245</v>
      </c>
      <c r="D36" s="17" t="s">
        <v>41</v>
      </c>
    </row>
    <row r="37" spans="2:4" ht="12.75">
      <c r="B37" s="109">
        <v>490100</v>
      </c>
      <c r="C37" s="106">
        <v>206.159</v>
      </c>
      <c r="D37" s="17" t="s">
        <v>42</v>
      </c>
    </row>
    <row r="38" spans="2:4" ht="12.75">
      <c r="B38" s="109">
        <v>523900</v>
      </c>
      <c r="C38" s="106">
        <v>219.82</v>
      </c>
      <c r="D38" s="17" t="s">
        <v>31</v>
      </c>
    </row>
    <row r="39" spans="2:5" ht="12.75">
      <c r="B39" s="109">
        <v>570100</v>
      </c>
      <c r="C39" s="106">
        <v>238.993</v>
      </c>
      <c r="D39" s="17" t="s">
        <v>32</v>
      </c>
      <c r="E39">
        <v>2011</v>
      </c>
    </row>
    <row r="40" spans="2:4" ht="12.75">
      <c r="B40" s="109">
        <v>615900</v>
      </c>
      <c r="C40" s="106">
        <v>285.071</v>
      </c>
      <c r="D40" s="17" t="s">
        <v>33</v>
      </c>
    </row>
    <row r="41" spans="2:4" ht="12.75">
      <c r="B41" s="109">
        <v>618700</v>
      </c>
      <c r="C41" s="106">
        <v>288.935</v>
      </c>
      <c r="D41" s="17" t="s">
        <v>34</v>
      </c>
    </row>
    <row r="42" spans="2:4" ht="12.75">
      <c r="B42" s="109">
        <v>678400</v>
      </c>
      <c r="C42" s="106">
        <v>315.916</v>
      </c>
      <c r="D42" s="17" t="s">
        <v>35</v>
      </c>
    </row>
    <row r="43" spans="2:4" ht="12.75">
      <c r="B43" s="109">
        <v>575200</v>
      </c>
      <c r="C43" s="106">
        <v>258.474</v>
      </c>
      <c r="D43" s="17" t="s">
        <v>36</v>
      </c>
    </row>
    <row r="44" spans="2:4" ht="12.75">
      <c r="B44" s="109">
        <v>542500</v>
      </c>
      <c r="C44" s="106">
        <v>204.522</v>
      </c>
      <c r="D44" s="17" t="s">
        <v>37</v>
      </c>
    </row>
    <row r="45" spans="2:4" ht="12.75">
      <c r="B45" s="109">
        <v>536900</v>
      </c>
      <c r="C45" s="106">
        <v>195.351</v>
      </c>
      <c r="D45" s="17" t="s">
        <v>38</v>
      </c>
    </row>
    <row r="46" spans="2:4" ht="12.75">
      <c r="B46" s="109">
        <v>598100</v>
      </c>
      <c r="C46" s="106">
        <v>210.619</v>
      </c>
      <c r="D46" s="17" t="s">
        <v>39</v>
      </c>
    </row>
    <row r="47" spans="2:4" ht="12.75">
      <c r="B47" s="109">
        <v>539700</v>
      </c>
      <c r="C47" s="148">
        <v>186.524</v>
      </c>
      <c r="D47" s="17" t="s">
        <v>40</v>
      </c>
    </row>
    <row r="48" spans="2:4" ht="12.75">
      <c r="B48" s="109">
        <v>513500</v>
      </c>
      <c r="C48" s="148">
        <v>180.062</v>
      </c>
      <c r="D48" s="17" t="s">
        <v>41</v>
      </c>
    </row>
    <row r="49" spans="2:4" ht="12.75">
      <c r="B49" s="109">
        <v>545800</v>
      </c>
      <c r="C49" s="148">
        <v>186.061</v>
      </c>
      <c r="D49" s="17" t="s">
        <v>42</v>
      </c>
    </row>
    <row r="50" spans="2:4" ht="12.75">
      <c r="B50" s="109">
        <v>470500</v>
      </c>
      <c r="C50" s="148">
        <v>177.826</v>
      </c>
      <c r="D50" s="17" t="s">
        <v>31</v>
      </c>
    </row>
    <row r="51" spans="2:5" ht="12.75">
      <c r="B51" s="109">
        <v>487300</v>
      </c>
      <c r="C51" s="148">
        <v>189.223</v>
      </c>
      <c r="D51" s="17" t="s">
        <v>32</v>
      </c>
      <c r="E51">
        <v>2012</v>
      </c>
    </row>
    <row r="52" spans="2:4" ht="12.75">
      <c r="B52" s="109">
        <v>574500</v>
      </c>
      <c r="C52" s="148">
        <v>237.157</v>
      </c>
      <c r="D52" s="17" t="s">
        <v>33</v>
      </c>
    </row>
    <row r="53" spans="2:4" ht="12.75">
      <c r="B53" s="109">
        <v>612200</v>
      </c>
      <c r="C53" s="148">
        <v>254.546</v>
      </c>
      <c r="D53" s="17" t="s">
        <v>34</v>
      </c>
    </row>
    <row r="54" spans="2:4" ht="12.75">
      <c r="B54" s="109">
        <v>620700</v>
      </c>
      <c r="C54" s="148">
        <v>259.996</v>
      </c>
      <c r="D54" s="17" t="s">
        <v>35</v>
      </c>
    </row>
    <row r="55" spans="2:4" ht="12.75">
      <c r="B55" s="109">
        <v>622600</v>
      </c>
      <c r="C55" s="148">
        <v>267.501</v>
      </c>
      <c r="D55" s="17" t="s">
        <v>36</v>
      </c>
    </row>
    <row r="56" spans="2:4" ht="12.75">
      <c r="B56" s="222">
        <v>483100</v>
      </c>
      <c r="C56" s="148">
        <v>202.945</v>
      </c>
      <c r="D56" s="17" t="s">
        <v>37</v>
      </c>
    </row>
    <row r="57" spans="2:4" ht="12.75">
      <c r="B57" s="223">
        <v>509300</v>
      </c>
      <c r="C57" s="148">
        <v>197.951</v>
      </c>
      <c r="D57" s="17" t="s">
        <v>38</v>
      </c>
    </row>
    <row r="58" spans="2:4" ht="12.75">
      <c r="B58" s="224">
        <v>456600</v>
      </c>
      <c r="C58" s="148">
        <v>230.38</v>
      </c>
      <c r="D58" s="17" t="s">
        <v>39</v>
      </c>
    </row>
    <row r="59" spans="2:4" ht="12.75">
      <c r="B59" s="109">
        <v>498400</v>
      </c>
      <c r="C59" s="148">
        <v>202.002</v>
      </c>
      <c r="D59" s="17" t="s">
        <v>40</v>
      </c>
    </row>
    <row r="60" spans="2:4" ht="12.75">
      <c r="B60" s="109">
        <v>540700</v>
      </c>
      <c r="C60" s="148">
        <v>241.435</v>
      </c>
      <c r="D60" s="17" t="s">
        <v>41</v>
      </c>
    </row>
    <row r="61" spans="2:4" ht="12.75">
      <c r="B61" s="109">
        <v>482900</v>
      </c>
      <c r="C61" s="148">
        <v>185.487</v>
      </c>
      <c r="D61" s="17" t="s">
        <v>42</v>
      </c>
    </row>
    <row r="62" spans="2:4" ht="12.75">
      <c r="B62" s="109">
        <v>479700</v>
      </c>
      <c r="C62" s="148">
        <v>197.87</v>
      </c>
      <c r="D62" s="17" t="s">
        <v>31</v>
      </c>
    </row>
    <row r="63" spans="2:5" ht="12.75">
      <c r="B63" s="109">
        <v>580800</v>
      </c>
      <c r="C63" s="148">
        <v>248.282</v>
      </c>
      <c r="D63" s="17" t="s">
        <v>32</v>
      </c>
      <c r="E63">
        <v>2013</v>
      </c>
    </row>
    <row r="64" spans="2:4" ht="12.75">
      <c r="B64" s="109">
        <v>590800</v>
      </c>
      <c r="C64" s="148">
        <v>267.332</v>
      </c>
      <c r="D64" s="17" t="s">
        <v>33</v>
      </c>
    </row>
    <row r="65" spans="2:4" ht="12.75">
      <c r="B65" s="109">
        <v>617600</v>
      </c>
      <c r="C65" s="148">
        <v>277.465</v>
      </c>
      <c r="D65" s="17" t="s">
        <v>34</v>
      </c>
    </row>
    <row r="66" spans="2:4" ht="12.75">
      <c r="B66" s="109">
        <v>705000</v>
      </c>
      <c r="C66" s="148">
        <v>322.472</v>
      </c>
      <c r="D66" s="17" t="s">
        <v>35</v>
      </c>
    </row>
    <row r="67" spans="2:4" ht="12.75">
      <c r="B67" s="109">
        <v>617200</v>
      </c>
      <c r="C67" s="148">
        <v>263.947</v>
      </c>
      <c r="D67" s="17" t="s">
        <v>36</v>
      </c>
    </row>
    <row r="68" spans="2:4" ht="12.75">
      <c r="B68" s="109">
        <v>544400</v>
      </c>
      <c r="C68" s="148">
        <v>239.201</v>
      </c>
      <c r="D68" s="17" t="s">
        <v>37</v>
      </c>
    </row>
    <row r="69" spans="2:4" ht="12.75">
      <c r="B69" s="109">
        <v>524100</v>
      </c>
      <c r="C69" s="148">
        <v>226.318</v>
      </c>
      <c r="D69" s="17" t="s">
        <v>38</v>
      </c>
    </row>
    <row r="70" spans="2:4" ht="12.75">
      <c r="B70" s="109">
        <v>600300</v>
      </c>
      <c r="C70" s="148">
        <v>254.52</v>
      </c>
      <c r="D70" s="17" t="s">
        <v>39</v>
      </c>
    </row>
    <row r="71" spans="2:4" ht="12.75">
      <c r="B71" s="109">
        <v>607100</v>
      </c>
      <c r="C71" s="148">
        <v>254.128</v>
      </c>
      <c r="D71" s="17" t="s">
        <v>40</v>
      </c>
    </row>
    <row r="72" spans="2:4" ht="12.75">
      <c r="B72" s="109">
        <v>522000</v>
      </c>
      <c r="C72" s="148">
        <v>232.694</v>
      </c>
      <c r="D72" s="17" t="s">
        <v>41</v>
      </c>
    </row>
    <row r="73" spans="2:4" ht="12.75">
      <c r="B73" s="109">
        <v>536900</v>
      </c>
      <c r="C73" s="148">
        <v>231.142</v>
      </c>
      <c r="D73" s="17" t="s">
        <v>42</v>
      </c>
    </row>
    <row r="74" spans="2:4" ht="12.75">
      <c r="B74" s="109">
        <v>514200</v>
      </c>
      <c r="C74" s="148">
        <v>227.781</v>
      </c>
      <c r="D74" s="17" t="s">
        <v>31</v>
      </c>
    </row>
    <row r="75" spans="2:5" ht="12.75">
      <c r="B75" s="109">
        <v>551000</v>
      </c>
      <c r="C75" s="148">
        <v>260.865</v>
      </c>
      <c r="D75" s="17" t="s">
        <v>32</v>
      </c>
      <c r="E75">
        <v>2014</v>
      </c>
    </row>
    <row r="76" spans="2:4" ht="12.75">
      <c r="B76" s="109">
        <v>573000</v>
      </c>
      <c r="C76" s="148">
        <v>295.402</v>
      </c>
      <c r="D76" s="17" t="s">
        <v>33</v>
      </c>
    </row>
    <row r="77" spans="2:4" ht="12.75">
      <c r="B77" s="109">
        <v>675200</v>
      </c>
      <c r="C77" s="148">
        <v>350.635</v>
      </c>
      <c r="D77" s="17" t="s">
        <v>34</v>
      </c>
    </row>
    <row r="78" spans="2:4" ht="12.75">
      <c r="B78" s="221">
        <v>600300</v>
      </c>
      <c r="C78" s="148">
        <v>309.479</v>
      </c>
      <c r="D78" s="17" t="s">
        <v>35</v>
      </c>
    </row>
    <row r="79" spans="2:4" ht="12.75">
      <c r="B79" s="109">
        <v>582700</v>
      </c>
      <c r="C79" s="148">
        <v>292.271</v>
      </c>
      <c r="D79" s="17" t="s">
        <v>36</v>
      </c>
    </row>
    <row r="80" spans="2:4" ht="12.75">
      <c r="B80" s="109">
        <v>577300</v>
      </c>
      <c r="C80" s="148">
        <v>284.516</v>
      </c>
      <c r="D80" s="17" t="s">
        <v>37</v>
      </c>
    </row>
    <row r="81" spans="2:4" ht="12.75">
      <c r="B81" s="109">
        <v>533300</v>
      </c>
      <c r="C81" s="148">
        <v>258.21</v>
      </c>
      <c r="D81" s="17" t="s">
        <v>38</v>
      </c>
    </row>
    <row r="82" spans="2:4" ht="12.75">
      <c r="B82" s="109">
        <v>467800</v>
      </c>
      <c r="C82" s="148">
        <v>224.985</v>
      </c>
      <c r="D82" s="17" t="s">
        <v>39</v>
      </c>
    </row>
    <row r="83" spans="2:4" ht="12.75">
      <c r="B83" s="109">
        <v>528600</v>
      </c>
      <c r="C83" s="148">
        <v>235.884</v>
      </c>
      <c r="D83" s="17" t="s">
        <v>40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G43"/>
  <sheetViews>
    <sheetView zoomScalePageLayoutView="0" workbookViewId="0" topLeftCell="FO20">
      <selection activeCell="GF43" sqref="GF43"/>
    </sheetView>
  </sheetViews>
  <sheetFormatPr defaultColWidth="9.140625" defaultRowHeight="12.75"/>
  <cols>
    <col min="2" max="2" width="12.8515625" style="0" customWidth="1"/>
    <col min="3" max="3" width="11.421875" style="0" customWidth="1"/>
    <col min="4" max="4" width="11.28125" style="0" customWidth="1"/>
    <col min="5" max="54" width="11.140625" style="0" bestFit="1" customWidth="1"/>
    <col min="55" max="55" width="11.00390625" style="0" customWidth="1"/>
    <col min="56" max="73" width="11.140625" style="0" bestFit="1" customWidth="1"/>
    <col min="74" max="74" width="11.140625" style="0" customWidth="1"/>
    <col min="75" max="108" width="11.140625" style="0" bestFit="1" customWidth="1"/>
    <col min="109" max="109" width="11.28125" style="273" customWidth="1"/>
    <col min="110" max="110" width="11.140625" style="0" bestFit="1" customWidth="1"/>
    <col min="111" max="111" width="11.28125" style="0" customWidth="1"/>
    <col min="112" max="112" width="11.140625" style="0" bestFit="1" customWidth="1"/>
    <col min="113" max="113" width="11.140625" style="0" customWidth="1"/>
    <col min="114" max="117" width="11.140625" style="0" bestFit="1" customWidth="1"/>
    <col min="118" max="118" width="11.140625" style="0" customWidth="1"/>
    <col min="119" max="119" width="11.140625" style="0" bestFit="1" customWidth="1"/>
    <col min="120" max="120" width="11.28125" style="0" customWidth="1"/>
    <col min="121" max="122" width="11.140625" style="0" bestFit="1" customWidth="1"/>
    <col min="123" max="123" width="11.57421875" style="0" customWidth="1"/>
    <col min="124" max="124" width="11.7109375" style="0" customWidth="1"/>
    <col min="125" max="125" width="11.421875" style="0" customWidth="1"/>
    <col min="126" max="126" width="11.28125" style="0" customWidth="1"/>
    <col min="127" max="127" width="11.8515625" style="0" customWidth="1"/>
    <col min="128" max="128" width="11.57421875" style="0" customWidth="1"/>
    <col min="129" max="129" width="11.28125" style="0" customWidth="1"/>
    <col min="130" max="130" width="11.7109375" style="0" customWidth="1"/>
    <col min="131" max="131" width="11.421875" style="0" customWidth="1"/>
    <col min="132" max="133" width="11.140625" style="0" bestFit="1" customWidth="1"/>
    <col min="134" max="134" width="12.00390625" style="0" customWidth="1"/>
    <col min="135" max="135" width="11.140625" style="0" bestFit="1" customWidth="1"/>
    <col min="136" max="136" width="11.28125" style="0" customWidth="1"/>
    <col min="137" max="137" width="11.140625" style="0" bestFit="1" customWidth="1"/>
    <col min="138" max="138" width="11.8515625" style="0" customWidth="1"/>
    <col min="139" max="139" width="12.00390625" style="0" customWidth="1"/>
    <col min="140" max="140" width="11.57421875" style="0" customWidth="1"/>
    <col min="141" max="141" width="11.8515625" style="0" customWidth="1"/>
    <col min="142" max="143" width="11.28125" style="0" customWidth="1"/>
    <col min="144" max="144" width="11.57421875" style="0" customWidth="1"/>
    <col min="145" max="165" width="11.140625" style="0" bestFit="1" customWidth="1"/>
    <col min="166" max="167" width="11.140625" style="0" customWidth="1"/>
    <col min="168" max="168" width="11.7109375" style="0" customWidth="1"/>
    <col min="169" max="169" width="11.28125" style="0" customWidth="1"/>
    <col min="170" max="170" width="11.57421875" style="0" customWidth="1"/>
    <col min="171" max="171" width="11.28125" style="0" customWidth="1"/>
    <col min="172" max="172" width="11.7109375" style="0" customWidth="1"/>
    <col min="173" max="173" width="10.8515625" style="0" customWidth="1"/>
    <col min="174" max="174" width="11.140625" style="0" bestFit="1" customWidth="1"/>
    <col min="175" max="177" width="11.28125" style="0" customWidth="1"/>
    <col min="178" max="178" width="10.8515625" style="0" customWidth="1"/>
    <col min="179" max="179" width="11.28125" style="0" customWidth="1"/>
    <col min="180" max="180" width="11.140625" style="0" bestFit="1" customWidth="1"/>
    <col min="181" max="181" width="11.8515625" style="0" customWidth="1"/>
    <col min="182" max="182" width="11.7109375" style="0" customWidth="1"/>
    <col min="183" max="183" width="10.8515625" style="0" customWidth="1"/>
    <col min="184" max="184" width="11.7109375" style="0" customWidth="1"/>
    <col min="185" max="185" width="11.57421875" style="0" customWidth="1"/>
    <col min="186" max="186" width="12.28125" style="0" customWidth="1"/>
    <col min="187" max="187" width="11.421875" style="0" customWidth="1"/>
    <col min="188" max="188" width="12.28125" style="0" customWidth="1"/>
    <col min="189" max="189" width="11.7109375" style="0" customWidth="1"/>
  </cols>
  <sheetData>
    <row r="1" spans="1:179" ht="12.75">
      <c r="A1" t="s">
        <v>12</v>
      </c>
      <c r="B1" s="17">
        <v>2008</v>
      </c>
      <c r="C1" s="17"/>
      <c r="D1" s="17"/>
      <c r="E1" s="17"/>
      <c r="F1" s="17"/>
      <c r="G1" s="17"/>
      <c r="H1" s="1"/>
      <c r="I1" s="1"/>
      <c r="J1" s="1"/>
      <c r="K1" s="1">
        <v>2009</v>
      </c>
      <c r="L1" s="1"/>
      <c r="M1" s="31"/>
      <c r="N1" s="31"/>
      <c r="O1" s="31"/>
      <c r="P1" s="31"/>
      <c r="Q1" s="31"/>
      <c r="R1" s="31"/>
      <c r="S1" s="31"/>
      <c r="T1" s="31"/>
      <c r="U1" s="31"/>
      <c r="V1" s="31"/>
      <c r="W1" s="31">
        <v>2010</v>
      </c>
      <c r="X1" s="31"/>
      <c r="Y1" s="31"/>
      <c r="Z1" s="31"/>
      <c r="AA1" s="1"/>
      <c r="AB1" s="1"/>
      <c r="AC1" s="1"/>
      <c r="AD1" s="1"/>
      <c r="AE1" s="1"/>
      <c r="AF1" s="1"/>
      <c r="AG1" s="1"/>
      <c r="AH1" s="1"/>
      <c r="AI1" s="1">
        <v>2011</v>
      </c>
      <c r="AJ1" s="1"/>
      <c r="AK1" s="1"/>
      <c r="AL1" s="1"/>
      <c r="AM1" s="1"/>
      <c r="AN1" s="1"/>
      <c r="AO1" s="31"/>
      <c r="AP1" s="31"/>
      <c r="AQ1" s="31"/>
      <c r="AR1" s="31"/>
      <c r="AS1" s="31"/>
      <c r="AT1" s="31"/>
      <c r="AU1" s="31">
        <v>2012</v>
      </c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>
        <v>2013</v>
      </c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>
        <v>2014</v>
      </c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>
        <v>2015</v>
      </c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>
        <v>2016</v>
      </c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>
        <v>2017</v>
      </c>
      <c r="DD1" s="31"/>
      <c r="DE1" s="282"/>
      <c r="DF1" s="31"/>
      <c r="DG1" s="31"/>
      <c r="DH1" s="31"/>
      <c r="DI1" s="31"/>
      <c r="DJ1" s="31"/>
      <c r="DK1" s="31"/>
      <c r="DL1" s="31"/>
      <c r="DM1" s="31"/>
      <c r="DN1" s="31"/>
      <c r="DO1" s="31">
        <v>2018</v>
      </c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>
        <v>2019</v>
      </c>
      <c r="EM1">
        <v>2020</v>
      </c>
      <c r="EY1">
        <v>2021</v>
      </c>
      <c r="FK1">
        <v>2022</v>
      </c>
      <c r="FW1">
        <v>2023</v>
      </c>
    </row>
    <row r="2" spans="2:189" ht="12.75">
      <c r="B2" s="1" t="s">
        <v>13</v>
      </c>
      <c r="C2" s="17" t="s">
        <v>16</v>
      </c>
      <c r="D2" s="17" t="s">
        <v>17</v>
      </c>
      <c r="E2" s="17" t="s">
        <v>18</v>
      </c>
      <c r="F2" s="17" t="s">
        <v>19</v>
      </c>
      <c r="G2" s="17" t="s">
        <v>23</v>
      </c>
      <c r="H2" s="17" t="s">
        <v>24</v>
      </c>
      <c r="I2" s="17" t="s">
        <v>25</v>
      </c>
      <c r="J2" s="17" t="s">
        <v>26</v>
      </c>
      <c r="K2" s="17" t="s">
        <v>27</v>
      </c>
      <c r="L2" s="17" t="s">
        <v>47</v>
      </c>
      <c r="M2" s="17" t="s">
        <v>48</v>
      </c>
      <c r="N2" s="17" t="s">
        <v>50</v>
      </c>
      <c r="O2" s="17" t="s">
        <v>51</v>
      </c>
      <c r="P2" s="17" t="s">
        <v>52</v>
      </c>
      <c r="Q2" s="17" t="s">
        <v>53</v>
      </c>
      <c r="R2" s="17" t="s">
        <v>57</v>
      </c>
      <c r="S2" s="17" t="s">
        <v>58</v>
      </c>
      <c r="T2" s="17" t="s">
        <v>59</v>
      </c>
      <c r="U2" s="17" t="s">
        <v>61</v>
      </c>
      <c r="V2" s="17" t="s">
        <v>62</v>
      </c>
      <c r="W2" s="17" t="s">
        <v>63</v>
      </c>
      <c r="X2" s="17" t="s">
        <v>47</v>
      </c>
      <c r="Y2" s="17" t="s">
        <v>48</v>
      </c>
      <c r="Z2" s="17" t="s">
        <v>50</v>
      </c>
      <c r="AA2" s="17" t="s">
        <v>65</v>
      </c>
      <c r="AB2" s="17" t="s">
        <v>66</v>
      </c>
      <c r="AC2" s="17" t="s">
        <v>53</v>
      </c>
      <c r="AD2" s="17" t="s">
        <v>71</v>
      </c>
      <c r="AE2" s="17" t="s">
        <v>72</v>
      </c>
      <c r="AF2" s="17" t="s">
        <v>59</v>
      </c>
      <c r="AG2" s="17" t="s">
        <v>61</v>
      </c>
      <c r="AH2" s="17" t="s">
        <v>73</v>
      </c>
      <c r="AI2" s="17" t="s">
        <v>74</v>
      </c>
      <c r="AJ2" s="17" t="s">
        <v>78</v>
      </c>
      <c r="AK2" s="17" t="s">
        <v>79</v>
      </c>
      <c r="AL2" s="17" t="s">
        <v>81</v>
      </c>
      <c r="AM2" s="17" t="s">
        <v>82</v>
      </c>
      <c r="AN2" s="17" t="s">
        <v>83</v>
      </c>
      <c r="AO2" s="17" t="s">
        <v>84</v>
      </c>
      <c r="AP2" s="17" t="s">
        <v>85</v>
      </c>
      <c r="AQ2" s="17" t="s">
        <v>86</v>
      </c>
      <c r="AR2" s="17" t="s">
        <v>87</v>
      </c>
      <c r="AS2" s="17" t="s">
        <v>88</v>
      </c>
      <c r="AT2" s="17" t="s">
        <v>89</v>
      </c>
      <c r="AU2" s="17" t="s">
        <v>74</v>
      </c>
      <c r="AV2" s="17" t="s">
        <v>90</v>
      </c>
      <c r="AW2" s="17" t="s">
        <v>91</v>
      </c>
      <c r="AX2" s="17" t="s">
        <v>92</v>
      </c>
      <c r="AY2" s="17" t="s">
        <v>94</v>
      </c>
      <c r="AZ2" s="17" t="s">
        <v>95</v>
      </c>
      <c r="BA2" s="17" t="s">
        <v>96</v>
      </c>
      <c r="BB2" s="17" t="s">
        <v>97</v>
      </c>
      <c r="BC2" s="17" t="s">
        <v>86</v>
      </c>
      <c r="BD2" s="17" t="s">
        <v>98</v>
      </c>
      <c r="BE2" s="17" t="s">
        <v>99</v>
      </c>
      <c r="BF2" s="17" t="s">
        <v>100</v>
      </c>
      <c r="BG2" s="17" t="s">
        <v>103</v>
      </c>
      <c r="BH2" s="17" t="s">
        <v>104</v>
      </c>
      <c r="BI2" s="17" t="s">
        <v>106</v>
      </c>
      <c r="BJ2" s="17" t="s">
        <v>108</v>
      </c>
      <c r="BK2" s="17" t="s">
        <v>109</v>
      </c>
      <c r="BL2" s="17" t="s">
        <v>95</v>
      </c>
      <c r="BM2" s="17" t="s">
        <v>110</v>
      </c>
      <c r="BN2" s="17" t="s">
        <v>111</v>
      </c>
      <c r="BO2" s="17" t="s">
        <v>112</v>
      </c>
      <c r="BP2" s="17" t="s">
        <v>113</v>
      </c>
      <c r="BQ2" s="17" t="s">
        <v>99</v>
      </c>
      <c r="BR2" s="17" t="s">
        <v>115</v>
      </c>
      <c r="BS2" s="17" t="s">
        <v>116</v>
      </c>
      <c r="BT2" s="17" t="s">
        <v>117</v>
      </c>
      <c r="BU2" s="17" t="s">
        <v>106</v>
      </c>
      <c r="BV2" s="17" t="s">
        <v>108</v>
      </c>
      <c r="BW2" s="17" t="s">
        <v>109</v>
      </c>
      <c r="BX2" s="17" t="s">
        <v>119</v>
      </c>
      <c r="BY2" s="17" t="s">
        <v>120</v>
      </c>
      <c r="BZ2" s="17" t="s">
        <v>121</v>
      </c>
      <c r="CA2" s="17" t="s">
        <v>122</v>
      </c>
      <c r="CB2" s="17" t="s">
        <v>125</v>
      </c>
      <c r="CC2" s="17" t="s">
        <v>126</v>
      </c>
      <c r="CD2" s="17" t="s">
        <v>115</v>
      </c>
      <c r="CE2" s="17" t="s">
        <v>129</v>
      </c>
      <c r="CF2" s="17" t="s">
        <v>130</v>
      </c>
      <c r="CG2" s="17" t="s">
        <v>132</v>
      </c>
      <c r="CH2" s="17" t="s">
        <v>133</v>
      </c>
      <c r="CI2" s="17" t="s">
        <v>51</v>
      </c>
      <c r="CJ2" s="17" t="s">
        <v>134</v>
      </c>
      <c r="CK2" s="17" t="s">
        <v>135</v>
      </c>
      <c r="CL2" s="17" t="s">
        <v>136</v>
      </c>
      <c r="CM2" s="17" t="s">
        <v>122</v>
      </c>
      <c r="CN2" s="17" t="s">
        <v>137</v>
      </c>
      <c r="CO2" s="17" t="s">
        <v>61</v>
      </c>
      <c r="CP2" s="17" t="s">
        <v>62</v>
      </c>
      <c r="CQ2" s="17" t="s">
        <v>139</v>
      </c>
      <c r="CR2" s="17" t="s">
        <v>78</v>
      </c>
      <c r="CS2" s="17" t="s">
        <v>141</v>
      </c>
      <c r="CT2" s="17" t="s">
        <v>50</v>
      </c>
      <c r="CU2" s="17" t="s">
        <v>142</v>
      </c>
      <c r="CV2" s="17" t="s">
        <v>143</v>
      </c>
      <c r="CW2" s="17" t="s">
        <v>144</v>
      </c>
      <c r="CX2" s="17" t="s">
        <v>145</v>
      </c>
      <c r="CY2" s="17" t="s">
        <v>72</v>
      </c>
      <c r="CZ2" s="17" t="s">
        <v>148</v>
      </c>
      <c r="DA2" s="17" t="s">
        <v>149</v>
      </c>
      <c r="DB2" s="17" t="s">
        <v>89</v>
      </c>
      <c r="DC2" s="17" t="s">
        <v>74</v>
      </c>
      <c r="DD2" s="17" t="s">
        <v>78</v>
      </c>
      <c r="DE2" s="283" t="s">
        <v>151</v>
      </c>
      <c r="DF2" s="17" t="s">
        <v>152</v>
      </c>
      <c r="DG2" s="17" t="s">
        <v>94</v>
      </c>
      <c r="DH2" s="17" t="s">
        <v>95</v>
      </c>
      <c r="DI2" s="17" t="s">
        <v>96</v>
      </c>
      <c r="DJ2" s="17" t="s">
        <v>97</v>
      </c>
      <c r="DK2" s="17" t="s">
        <v>86</v>
      </c>
      <c r="DL2" s="17" t="s">
        <v>87</v>
      </c>
      <c r="DM2" s="17" t="s">
        <v>153</v>
      </c>
      <c r="DN2" s="17" t="s">
        <v>100</v>
      </c>
      <c r="DO2" s="17" t="s">
        <v>154</v>
      </c>
      <c r="DP2" s="17" t="s">
        <v>155</v>
      </c>
      <c r="DQ2" s="17" t="s">
        <v>106</v>
      </c>
      <c r="DR2" s="17" t="s">
        <v>158</v>
      </c>
      <c r="DS2" s="17" t="s">
        <v>165</v>
      </c>
      <c r="DT2" s="17" t="s">
        <v>159</v>
      </c>
      <c r="DU2" s="17" t="s">
        <v>160</v>
      </c>
      <c r="DV2" s="17" t="s">
        <v>161</v>
      </c>
      <c r="DW2" s="17" t="s">
        <v>162</v>
      </c>
      <c r="DX2" s="17" t="s">
        <v>98</v>
      </c>
      <c r="DY2" s="17" t="s">
        <v>25</v>
      </c>
      <c r="DZ2" s="17" t="s">
        <v>163</v>
      </c>
      <c r="EA2" s="17" t="s">
        <v>164</v>
      </c>
      <c r="EB2" s="17" t="s">
        <v>170</v>
      </c>
      <c r="EC2" s="17" t="s">
        <v>171</v>
      </c>
      <c r="ED2" s="17" t="s">
        <v>172</v>
      </c>
      <c r="EE2" s="17" t="s">
        <v>173</v>
      </c>
      <c r="EF2" s="17" t="s">
        <v>174</v>
      </c>
      <c r="EG2" s="17" t="s">
        <v>175</v>
      </c>
      <c r="EH2" s="17" t="s">
        <v>176</v>
      </c>
      <c r="EI2" s="17" t="s">
        <v>177</v>
      </c>
      <c r="EJ2" s="17" t="s">
        <v>178</v>
      </c>
      <c r="EK2" s="17" t="s">
        <v>25</v>
      </c>
      <c r="EL2" s="17" t="s">
        <v>26</v>
      </c>
      <c r="EM2" s="17" t="s">
        <v>27</v>
      </c>
      <c r="EN2" s="17" t="s">
        <v>179</v>
      </c>
      <c r="EO2" s="17" t="s">
        <v>151</v>
      </c>
      <c r="EP2" s="17" t="s">
        <v>180</v>
      </c>
      <c r="EQ2" s="17" t="s">
        <v>181</v>
      </c>
      <c r="ER2" s="17" t="s">
        <v>182</v>
      </c>
      <c r="ES2" s="17" t="s">
        <v>144</v>
      </c>
      <c r="ET2" s="17" t="s">
        <v>183</v>
      </c>
      <c r="EU2" s="17" t="s">
        <v>184</v>
      </c>
      <c r="EV2" s="17" t="s">
        <v>185</v>
      </c>
      <c r="EW2" s="17" t="s">
        <v>186</v>
      </c>
      <c r="EX2" s="17" t="s">
        <v>62</v>
      </c>
      <c r="EY2" s="17" t="s">
        <v>63</v>
      </c>
      <c r="EZ2" s="17" t="s">
        <v>187</v>
      </c>
      <c r="FA2" s="17" t="s">
        <v>188</v>
      </c>
      <c r="FB2" s="17" t="s">
        <v>189</v>
      </c>
      <c r="FC2" s="17" t="s">
        <v>82</v>
      </c>
      <c r="FD2" s="17" t="s">
        <v>83</v>
      </c>
      <c r="FE2" s="17" t="s">
        <v>84</v>
      </c>
      <c r="FF2" s="17" t="s">
        <v>190</v>
      </c>
      <c r="FG2" s="17" t="s">
        <v>58</v>
      </c>
      <c r="FH2" s="17" t="s">
        <v>148</v>
      </c>
      <c r="FI2" s="17" t="s">
        <v>194</v>
      </c>
      <c r="FJ2" s="17" t="s">
        <v>195</v>
      </c>
      <c r="FK2" s="17" t="s">
        <v>164</v>
      </c>
      <c r="FL2" s="17" t="s">
        <v>196</v>
      </c>
      <c r="FM2" s="17" t="s">
        <v>79</v>
      </c>
      <c r="FN2" s="17" t="s">
        <v>92</v>
      </c>
      <c r="FO2" s="17" t="s">
        <v>197</v>
      </c>
      <c r="FP2" s="17" t="s">
        <v>198</v>
      </c>
      <c r="FQ2" s="17" t="s">
        <v>199</v>
      </c>
      <c r="FR2" s="17" t="s">
        <v>200</v>
      </c>
      <c r="FS2" s="17" t="s">
        <v>201</v>
      </c>
      <c r="FT2" s="17" t="s">
        <v>148</v>
      </c>
      <c r="FU2" s="17" t="s">
        <v>194</v>
      </c>
      <c r="FV2" s="17" t="s">
        <v>195</v>
      </c>
      <c r="FW2" s="17" t="s">
        <v>164</v>
      </c>
      <c r="FX2" s="414" t="s">
        <v>196</v>
      </c>
      <c r="FY2" s="17" t="s">
        <v>79</v>
      </c>
      <c r="FZ2" s="17" t="s">
        <v>92</v>
      </c>
      <c r="GA2" s="17" t="s">
        <v>197</v>
      </c>
      <c r="GB2" s="17" t="s">
        <v>198</v>
      </c>
      <c r="GC2" s="17" t="s">
        <v>202</v>
      </c>
      <c r="GD2" s="17" t="s">
        <v>203</v>
      </c>
      <c r="GE2" s="17" t="s">
        <v>204</v>
      </c>
      <c r="GF2" s="17" t="s">
        <v>205</v>
      </c>
      <c r="GG2" s="17" t="s">
        <v>206</v>
      </c>
    </row>
    <row r="3" ht="12.75">
      <c r="B3" s="10"/>
    </row>
    <row r="4" spans="2:189" ht="14.25">
      <c r="B4" s="13">
        <v>9030000</v>
      </c>
      <c r="C4" s="16">
        <v>9275000</v>
      </c>
      <c r="D4" s="16">
        <v>15458000</v>
      </c>
      <c r="E4" s="16">
        <v>13101000</v>
      </c>
      <c r="F4" s="16">
        <v>8683000</v>
      </c>
      <c r="G4" s="16">
        <v>9161000</v>
      </c>
      <c r="H4" s="16">
        <v>8786000</v>
      </c>
      <c r="I4" s="16">
        <v>7907000</v>
      </c>
      <c r="J4" s="16">
        <v>7894000</v>
      </c>
      <c r="K4" s="16">
        <v>7441000</v>
      </c>
      <c r="L4" s="16">
        <v>7951000</v>
      </c>
      <c r="M4" s="16">
        <v>8330000</v>
      </c>
      <c r="N4" s="16">
        <v>7998000</v>
      </c>
      <c r="O4" s="16">
        <v>8821000</v>
      </c>
      <c r="P4" s="16">
        <v>8849000</v>
      </c>
      <c r="Q4" s="16">
        <v>9100000</v>
      </c>
      <c r="R4" s="16">
        <v>10719000</v>
      </c>
      <c r="S4" s="16">
        <v>9929000</v>
      </c>
      <c r="T4" s="16">
        <v>8204000</v>
      </c>
      <c r="U4" s="16">
        <v>8136000</v>
      </c>
      <c r="V4" s="16">
        <v>7303000</v>
      </c>
      <c r="W4" s="16">
        <v>7754000</v>
      </c>
      <c r="X4" s="16">
        <v>7823000</v>
      </c>
      <c r="Y4" s="16">
        <v>7314000</v>
      </c>
      <c r="Z4" s="16">
        <v>7867000</v>
      </c>
      <c r="AA4" s="16">
        <v>8800000</v>
      </c>
      <c r="AB4" s="16">
        <v>7744000</v>
      </c>
      <c r="AC4" s="16">
        <v>8992000</v>
      </c>
      <c r="AD4" s="16">
        <v>11086000</v>
      </c>
      <c r="AE4" s="16">
        <v>9001000</v>
      </c>
      <c r="AF4" s="16">
        <v>7813000</v>
      </c>
      <c r="AG4" s="16">
        <v>7907000</v>
      </c>
      <c r="AH4" s="13">
        <v>7384000</v>
      </c>
      <c r="AI4" s="16">
        <v>7026000</v>
      </c>
      <c r="AJ4" s="16">
        <v>7023000</v>
      </c>
      <c r="AK4" s="16">
        <v>6987000</v>
      </c>
      <c r="AL4" s="16">
        <v>7431000</v>
      </c>
      <c r="AM4" s="16">
        <v>8922000</v>
      </c>
      <c r="AN4" s="16">
        <v>8694000</v>
      </c>
      <c r="AO4" s="16">
        <v>10547000</v>
      </c>
      <c r="AP4" s="16">
        <v>8221000</v>
      </c>
      <c r="AQ4" s="16">
        <v>7346000</v>
      </c>
      <c r="AR4" s="16">
        <v>6616000</v>
      </c>
      <c r="AS4" s="16">
        <v>7553000</v>
      </c>
      <c r="AT4" s="13">
        <v>6294000</v>
      </c>
      <c r="AU4" s="16">
        <v>7075000</v>
      </c>
      <c r="AV4" s="16">
        <v>6539000</v>
      </c>
      <c r="AW4" s="16">
        <v>4891000</v>
      </c>
      <c r="AX4" s="16">
        <v>5466000</v>
      </c>
      <c r="AY4" s="16">
        <v>7292000</v>
      </c>
      <c r="AZ4" s="16">
        <v>10921000</v>
      </c>
      <c r="BA4" s="16">
        <v>11485000</v>
      </c>
      <c r="BB4" s="16">
        <v>9479000</v>
      </c>
      <c r="BC4" s="16">
        <v>8224000</v>
      </c>
      <c r="BD4" s="13">
        <v>7419000</v>
      </c>
      <c r="BE4" s="16">
        <v>7607000</v>
      </c>
      <c r="BF4" s="13">
        <v>5724000</v>
      </c>
      <c r="BG4" s="16">
        <v>6712000</v>
      </c>
      <c r="BH4" s="16">
        <v>7489371</v>
      </c>
      <c r="BI4" s="16">
        <v>7138000</v>
      </c>
      <c r="BJ4" s="16">
        <v>7418000</v>
      </c>
      <c r="BK4" s="16">
        <v>7941000</v>
      </c>
      <c r="BL4" s="16">
        <v>7710000</v>
      </c>
      <c r="BM4" s="16">
        <v>8315000</v>
      </c>
      <c r="BN4" s="16">
        <v>9763000</v>
      </c>
      <c r="BO4" s="16">
        <v>9935000</v>
      </c>
      <c r="BP4" s="13">
        <v>8568000</v>
      </c>
      <c r="BQ4" s="16">
        <v>8426000</v>
      </c>
      <c r="BR4" s="13">
        <v>7080000</v>
      </c>
      <c r="BS4" s="16">
        <v>8267000</v>
      </c>
      <c r="BT4" s="16">
        <v>9107000</v>
      </c>
      <c r="BU4" s="16">
        <v>8322000</v>
      </c>
      <c r="BV4" s="16">
        <v>8131000</v>
      </c>
      <c r="BW4" s="16">
        <v>8799000</v>
      </c>
      <c r="BX4" s="16">
        <v>8908000</v>
      </c>
      <c r="BY4" s="16">
        <v>10379000</v>
      </c>
      <c r="BZ4" s="16">
        <v>8193000</v>
      </c>
      <c r="CA4" s="16">
        <v>10331000</v>
      </c>
      <c r="CB4" s="13">
        <v>10003000</v>
      </c>
      <c r="CC4" s="16">
        <v>7873000</v>
      </c>
      <c r="CD4" s="13">
        <v>6095000</v>
      </c>
      <c r="CE4" s="16">
        <v>7224000</v>
      </c>
      <c r="CF4" s="16">
        <v>7120000</v>
      </c>
      <c r="CG4" s="16">
        <v>8696000</v>
      </c>
      <c r="CH4" s="16">
        <v>9018000</v>
      </c>
      <c r="CI4" s="16">
        <v>11490000</v>
      </c>
      <c r="CJ4" s="16">
        <v>12237000</v>
      </c>
      <c r="CK4" s="16">
        <v>12647000</v>
      </c>
      <c r="CL4" s="16">
        <v>9180000</v>
      </c>
      <c r="CM4" s="16">
        <v>8303000</v>
      </c>
      <c r="CN4" s="13">
        <v>7964000</v>
      </c>
      <c r="CO4" s="16">
        <v>6997000</v>
      </c>
      <c r="CP4" s="13">
        <v>7267000</v>
      </c>
      <c r="CQ4" s="16">
        <v>6151000</v>
      </c>
      <c r="CR4" s="16">
        <v>6702000</v>
      </c>
      <c r="CS4" s="16">
        <v>6812000</v>
      </c>
      <c r="CT4" s="16">
        <v>8085000</v>
      </c>
      <c r="CU4" s="16">
        <v>10164000</v>
      </c>
      <c r="CV4" s="16">
        <v>9666000</v>
      </c>
      <c r="CW4" s="16">
        <v>11447000</v>
      </c>
      <c r="CX4" s="16">
        <v>10941000</v>
      </c>
      <c r="CY4" s="16">
        <v>10291000</v>
      </c>
      <c r="CZ4" s="13">
        <v>9570000</v>
      </c>
      <c r="DA4" s="16">
        <v>7613000</v>
      </c>
      <c r="DB4" s="13">
        <v>8007000</v>
      </c>
      <c r="DC4" s="16">
        <v>8367000</v>
      </c>
      <c r="DD4" s="16">
        <v>7171000</v>
      </c>
      <c r="DE4" s="22">
        <v>6867000</v>
      </c>
      <c r="DF4" s="16">
        <v>6765000</v>
      </c>
      <c r="DG4" s="16">
        <v>8408000</v>
      </c>
      <c r="DH4" s="16">
        <v>11258000</v>
      </c>
      <c r="DI4" s="16">
        <v>9948000</v>
      </c>
      <c r="DJ4" s="16">
        <v>9881000</v>
      </c>
      <c r="DK4" s="16">
        <v>9699000</v>
      </c>
      <c r="DL4" s="13">
        <v>11874000</v>
      </c>
      <c r="DM4" s="16">
        <v>6197000</v>
      </c>
      <c r="DN4" s="13">
        <v>6929000</v>
      </c>
      <c r="DO4" s="16">
        <v>9185000</v>
      </c>
      <c r="DP4" s="16">
        <v>6669000</v>
      </c>
      <c r="DQ4" s="16">
        <v>6410000</v>
      </c>
      <c r="DR4" s="16">
        <v>7243000</v>
      </c>
      <c r="DS4" s="16">
        <v>8454000</v>
      </c>
      <c r="DT4" s="16">
        <v>10408000</v>
      </c>
      <c r="DU4" s="16">
        <v>10627000</v>
      </c>
      <c r="DV4" s="16">
        <v>11426000</v>
      </c>
      <c r="DW4" s="16">
        <v>10160000</v>
      </c>
      <c r="DX4" s="13">
        <v>9786000</v>
      </c>
      <c r="DY4" s="16">
        <v>7235000</v>
      </c>
      <c r="DZ4" s="13">
        <v>6489000</v>
      </c>
      <c r="EA4" s="16">
        <v>7248000</v>
      </c>
      <c r="EB4" s="16">
        <v>6897000</v>
      </c>
      <c r="EC4" s="16">
        <v>6939000</v>
      </c>
      <c r="ED4" s="16">
        <v>7924000</v>
      </c>
      <c r="EE4" s="16">
        <v>7931000</v>
      </c>
      <c r="EF4" s="16">
        <v>7981000</v>
      </c>
      <c r="EG4" s="16">
        <v>11294000</v>
      </c>
      <c r="EH4" s="16">
        <v>9300000</v>
      </c>
      <c r="EI4" s="16">
        <v>8365000</v>
      </c>
      <c r="EJ4" s="13">
        <v>7905000</v>
      </c>
      <c r="EK4" s="16">
        <v>7705000</v>
      </c>
      <c r="EL4" s="13">
        <v>6552000</v>
      </c>
      <c r="EM4" s="16">
        <v>6920000</v>
      </c>
      <c r="EN4" s="16">
        <v>6471000</v>
      </c>
      <c r="EO4" s="16">
        <v>7293000</v>
      </c>
      <c r="EP4" s="16">
        <v>6715000</v>
      </c>
      <c r="EQ4" s="16">
        <v>7018000</v>
      </c>
      <c r="ER4" s="16">
        <v>8431000</v>
      </c>
      <c r="ES4" s="16">
        <v>10760000</v>
      </c>
      <c r="ET4" s="16">
        <v>13825000</v>
      </c>
      <c r="EU4" s="16">
        <v>10725000</v>
      </c>
      <c r="EV4" s="13">
        <v>10727000</v>
      </c>
      <c r="EW4" s="16">
        <v>10156000</v>
      </c>
      <c r="EX4" s="13">
        <v>8200000</v>
      </c>
      <c r="EY4" s="16">
        <v>7891000</v>
      </c>
      <c r="EZ4">
        <v>7071000</v>
      </c>
      <c r="FA4" s="16">
        <v>7198000</v>
      </c>
      <c r="FB4" s="16">
        <v>7385000</v>
      </c>
      <c r="FC4" s="357">
        <v>8211190</v>
      </c>
      <c r="FD4" s="357">
        <v>12582800</v>
      </c>
      <c r="FE4" s="357">
        <v>8133170</v>
      </c>
      <c r="FF4" s="358">
        <v>11105400</v>
      </c>
      <c r="FG4" s="16">
        <v>8250000</v>
      </c>
      <c r="FH4" s="13">
        <v>7383000</v>
      </c>
      <c r="FI4" s="16">
        <v>6639000</v>
      </c>
      <c r="FJ4" s="13">
        <v>7400000</v>
      </c>
      <c r="FK4" s="16">
        <v>7250000</v>
      </c>
      <c r="FL4" s="16">
        <v>6437000</v>
      </c>
      <c r="FM4" s="16">
        <v>6033000</v>
      </c>
      <c r="FN4" s="16">
        <v>5901000</v>
      </c>
      <c r="FO4" s="16">
        <v>7273000</v>
      </c>
      <c r="FP4" s="16">
        <v>8004000</v>
      </c>
      <c r="FQ4" s="16">
        <v>10459000</v>
      </c>
      <c r="FR4" s="16">
        <v>7876000</v>
      </c>
      <c r="FS4" s="16">
        <v>7642000</v>
      </c>
      <c r="FT4" s="13">
        <v>8467000</v>
      </c>
      <c r="FU4" s="16">
        <v>6642000</v>
      </c>
      <c r="FV4" s="13">
        <v>6072000</v>
      </c>
      <c r="FW4" s="16">
        <v>6304000</v>
      </c>
      <c r="FX4" s="16">
        <v>7289000</v>
      </c>
      <c r="FY4" s="16">
        <v>6255000</v>
      </c>
      <c r="FZ4" s="16">
        <v>5781000</v>
      </c>
      <c r="GA4" s="16">
        <v>7003000</v>
      </c>
      <c r="GB4" s="197">
        <v>11074000</v>
      </c>
      <c r="GC4" s="197">
        <v>10234000</v>
      </c>
      <c r="GD4" s="16">
        <v>9343000</v>
      </c>
      <c r="GE4" s="16">
        <v>8742000</v>
      </c>
      <c r="GF4" s="13">
        <v>7068000</v>
      </c>
      <c r="GG4" s="415">
        <v>7804000</v>
      </c>
    </row>
    <row r="5" spans="2:189" ht="14.25">
      <c r="B5" s="13">
        <v>7697000</v>
      </c>
      <c r="C5" s="16">
        <v>8126000</v>
      </c>
      <c r="D5" s="16">
        <v>14711000</v>
      </c>
      <c r="E5" s="16">
        <v>11759000</v>
      </c>
      <c r="F5" s="16">
        <v>9074000</v>
      </c>
      <c r="G5" s="16">
        <v>9893000</v>
      </c>
      <c r="H5" s="16">
        <v>9368000</v>
      </c>
      <c r="I5" s="16">
        <v>7860000</v>
      </c>
      <c r="J5" s="16">
        <v>8132000</v>
      </c>
      <c r="K5" s="16">
        <v>7426000</v>
      </c>
      <c r="L5" s="16">
        <v>7634000</v>
      </c>
      <c r="M5" s="16">
        <v>7662000</v>
      </c>
      <c r="N5" s="16">
        <v>7778000</v>
      </c>
      <c r="O5" s="16">
        <v>9782000</v>
      </c>
      <c r="P5" s="16">
        <v>8379000</v>
      </c>
      <c r="Q5" s="16">
        <v>9706000</v>
      </c>
      <c r="R5" s="16">
        <v>8900000</v>
      </c>
      <c r="S5" s="16">
        <v>9123000</v>
      </c>
      <c r="T5" s="16">
        <v>8127000</v>
      </c>
      <c r="U5" s="16">
        <v>8170000</v>
      </c>
      <c r="V5" s="16">
        <v>7281000</v>
      </c>
      <c r="W5" s="16">
        <v>7935000</v>
      </c>
      <c r="X5" s="16">
        <v>7270000</v>
      </c>
      <c r="Y5" s="16">
        <v>7361000</v>
      </c>
      <c r="Z5" s="16">
        <v>8196000</v>
      </c>
      <c r="AA5" s="16">
        <v>8336000</v>
      </c>
      <c r="AB5" s="16">
        <v>8312000</v>
      </c>
      <c r="AC5" s="16">
        <v>9404000</v>
      </c>
      <c r="AD5" s="16">
        <v>11948000</v>
      </c>
      <c r="AE5" s="16">
        <v>9538000</v>
      </c>
      <c r="AF5" s="16">
        <v>8160000</v>
      </c>
      <c r="AG5" s="16">
        <v>8090000</v>
      </c>
      <c r="AH5" s="13">
        <v>6733000</v>
      </c>
      <c r="AI5" s="16">
        <v>6534000</v>
      </c>
      <c r="AJ5" s="16">
        <v>7333000</v>
      </c>
      <c r="AK5" s="16">
        <v>6460000</v>
      </c>
      <c r="AL5" s="16">
        <v>7686000</v>
      </c>
      <c r="AM5" s="16">
        <v>9119000</v>
      </c>
      <c r="AN5" s="16">
        <v>8650000</v>
      </c>
      <c r="AO5" s="16">
        <v>9855000</v>
      </c>
      <c r="AP5" s="16">
        <v>9384000</v>
      </c>
      <c r="AQ5" s="16">
        <v>7183000</v>
      </c>
      <c r="AR5" s="16">
        <v>6798000</v>
      </c>
      <c r="AS5" s="16">
        <v>7645000</v>
      </c>
      <c r="AT5" s="13">
        <v>6294000</v>
      </c>
      <c r="AU5" s="16">
        <v>7621000</v>
      </c>
      <c r="AV5" s="16">
        <v>5141000</v>
      </c>
      <c r="AW5" s="16">
        <v>5181000</v>
      </c>
      <c r="AX5" s="16">
        <v>7998000</v>
      </c>
      <c r="AY5" s="16">
        <v>6968000</v>
      </c>
      <c r="AZ5" s="16">
        <v>5323000</v>
      </c>
      <c r="BA5" s="16">
        <v>9174000</v>
      </c>
      <c r="BB5" s="16">
        <v>6133000</v>
      </c>
      <c r="BC5" s="16">
        <v>7702000</v>
      </c>
      <c r="BD5" s="13">
        <v>7592000</v>
      </c>
      <c r="BE5" s="16">
        <v>6392000</v>
      </c>
      <c r="BF5" s="13">
        <v>8597000</v>
      </c>
      <c r="BG5" s="16">
        <v>7281000</v>
      </c>
      <c r="BH5" s="16">
        <v>6698949</v>
      </c>
      <c r="BI5" s="16">
        <v>6838000</v>
      </c>
      <c r="BJ5" s="16">
        <v>6436000</v>
      </c>
      <c r="BK5" s="16">
        <v>9009000</v>
      </c>
      <c r="BL5" s="16">
        <v>9499000</v>
      </c>
      <c r="BM5" s="16">
        <v>8370000</v>
      </c>
      <c r="BN5" s="16">
        <v>10917000</v>
      </c>
      <c r="BO5" s="16">
        <v>7957000</v>
      </c>
      <c r="BP5" s="13">
        <v>7639000</v>
      </c>
      <c r="BQ5" s="16">
        <v>7598000</v>
      </c>
      <c r="BR5" s="13">
        <v>7581000</v>
      </c>
      <c r="BS5" s="16">
        <v>9373000</v>
      </c>
      <c r="BT5" s="16">
        <v>7438000</v>
      </c>
      <c r="BU5" s="16">
        <v>8099000</v>
      </c>
      <c r="BV5" s="16">
        <v>7654000</v>
      </c>
      <c r="BW5" s="16">
        <v>10050000</v>
      </c>
      <c r="BX5" s="16">
        <v>10204000</v>
      </c>
      <c r="BY5" s="16">
        <v>9906000</v>
      </c>
      <c r="BZ5" s="16">
        <v>9524000</v>
      </c>
      <c r="CA5" s="16">
        <v>10713000</v>
      </c>
      <c r="CB5" s="13">
        <v>8451000</v>
      </c>
      <c r="CC5" s="16">
        <v>10300000</v>
      </c>
      <c r="CD5" s="13">
        <v>7700000</v>
      </c>
      <c r="CE5" s="16">
        <v>7688000</v>
      </c>
      <c r="CF5" s="16">
        <v>5487000</v>
      </c>
      <c r="CG5" s="16">
        <v>9456000</v>
      </c>
      <c r="CH5" s="16">
        <v>9912000</v>
      </c>
      <c r="CI5" s="16">
        <v>12807000</v>
      </c>
      <c r="CJ5" s="16">
        <v>12921000</v>
      </c>
      <c r="CK5" s="16">
        <v>10470000</v>
      </c>
      <c r="CL5" s="16">
        <v>10623000</v>
      </c>
      <c r="CM5" s="16">
        <v>7873000</v>
      </c>
      <c r="CN5" s="13">
        <v>7293000</v>
      </c>
      <c r="CO5" s="16">
        <v>7381000</v>
      </c>
      <c r="CP5" s="13">
        <v>6512000</v>
      </c>
      <c r="CQ5" s="16">
        <v>6808000</v>
      </c>
      <c r="CR5" s="16">
        <v>6922000</v>
      </c>
      <c r="CS5" s="16">
        <v>6940000</v>
      </c>
      <c r="CT5" s="16">
        <v>7181000</v>
      </c>
      <c r="CU5" s="16">
        <v>9571000</v>
      </c>
      <c r="CV5" s="16">
        <v>9912000</v>
      </c>
      <c r="CW5" s="16">
        <v>10611000</v>
      </c>
      <c r="CX5" s="16">
        <v>10554000</v>
      </c>
      <c r="CY5" s="16">
        <v>9954000</v>
      </c>
      <c r="CZ5" s="13">
        <v>8776000</v>
      </c>
      <c r="DA5" s="16">
        <v>7729000</v>
      </c>
      <c r="DB5" s="13">
        <v>6664000</v>
      </c>
      <c r="DC5" s="16">
        <v>7174000</v>
      </c>
      <c r="DD5" s="16">
        <v>6878000</v>
      </c>
      <c r="DE5" s="22">
        <v>7915000</v>
      </c>
      <c r="DF5" s="16">
        <v>6744000</v>
      </c>
      <c r="DG5" s="16">
        <v>8106000</v>
      </c>
      <c r="DH5" s="16">
        <v>10308000</v>
      </c>
      <c r="DI5" s="16">
        <v>8736000</v>
      </c>
      <c r="DJ5" s="16">
        <v>10723000</v>
      </c>
      <c r="DK5" s="16">
        <v>10195000</v>
      </c>
      <c r="DL5" s="13">
        <v>8937000</v>
      </c>
      <c r="DM5" s="16">
        <v>7196000</v>
      </c>
      <c r="DN5" s="13">
        <v>6798000</v>
      </c>
      <c r="DO5" s="16">
        <v>9757000</v>
      </c>
      <c r="DP5" s="16">
        <v>7332000</v>
      </c>
      <c r="DQ5" s="16">
        <v>7166000</v>
      </c>
      <c r="DR5" s="16">
        <v>6235000</v>
      </c>
      <c r="DS5" s="16">
        <v>7943000</v>
      </c>
      <c r="DT5" s="16">
        <v>9849000</v>
      </c>
      <c r="DU5" s="16">
        <v>11318000</v>
      </c>
      <c r="DV5" s="16">
        <v>12449000</v>
      </c>
      <c r="DW5" s="16">
        <v>9268000</v>
      </c>
      <c r="DX5" s="13">
        <v>7538000</v>
      </c>
      <c r="DY5" s="16">
        <v>7758000</v>
      </c>
      <c r="DZ5" s="13">
        <v>7408000</v>
      </c>
      <c r="EA5" s="16">
        <v>6772000</v>
      </c>
      <c r="EB5" s="16">
        <v>7607000</v>
      </c>
      <c r="EC5" s="16">
        <v>7429000</v>
      </c>
      <c r="ED5" s="16">
        <v>6679000</v>
      </c>
      <c r="EE5" s="16">
        <v>7966000</v>
      </c>
      <c r="EF5" s="16">
        <v>8650000</v>
      </c>
      <c r="EG5" s="16">
        <v>7901000</v>
      </c>
      <c r="EH5" s="16">
        <v>9833000</v>
      </c>
      <c r="EI5" s="16">
        <v>8540000</v>
      </c>
      <c r="EJ5" s="13">
        <v>7652000</v>
      </c>
      <c r="EK5" s="16">
        <v>6763000</v>
      </c>
      <c r="EL5" s="13">
        <v>7756000</v>
      </c>
      <c r="EM5" s="16">
        <v>6283000</v>
      </c>
      <c r="EN5" s="16">
        <v>7125000</v>
      </c>
      <c r="EO5" s="16">
        <v>6672000</v>
      </c>
      <c r="EP5" s="16">
        <v>7196000</v>
      </c>
      <c r="EQ5" s="16">
        <v>7216000</v>
      </c>
      <c r="ER5" s="16">
        <v>11289000</v>
      </c>
      <c r="ES5" s="16">
        <v>9764000</v>
      </c>
      <c r="ET5" s="16">
        <v>14120000</v>
      </c>
      <c r="EU5" s="16">
        <v>10023000</v>
      </c>
      <c r="EV5" s="13">
        <v>9407000</v>
      </c>
      <c r="EW5" s="16">
        <v>8374000</v>
      </c>
      <c r="EX5" s="13">
        <v>8157000</v>
      </c>
      <c r="EY5" s="16">
        <v>7702000</v>
      </c>
      <c r="EZ5">
        <v>8668000</v>
      </c>
      <c r="FA5" s="16">
        <v>7458000</v>
      </c>
      <c r="FB5" s="16">
        <v>7393000</v>
      </c>
      <c r="FC5" s="357">
        <v>8059300</v>
      </c>
      <c r="FD5" s="357">
        <v>11172630</v>
      </c>
      <c r="FE5" s="357">
        <v>9305130</v>
      </c>
      <c r="FF5" s="358">
        <v>11539490</v>
      </c>
      <c r="FG5" s="16">
        <v>7166000</v>
      </c>
      <c r="FH5" s="13">
        <v>8138000</v>
      </c>
      <c r="FI5" s="16">
        <v>7758000</v>
      </c>
      <c r="FJ5" s="13">
        <v>8274000</v>
      </c>
      <c r="FK5" s="16">
        <v>6503000</v>
      </c>
      <c r="FL5" s="16">
        <v>6451000</v>
      </c>
      <c r="FM5" s="16">
        <v>6602000</v>
      </c>
      <c r="FN5" s="16">
        <v>6357000</v>
      </c>
      <c r="FO5" s="16">
        <v>8122000</v>
      </c>
      <c r="FP5" s="16">
        <v>9092000</v>
      </c>
      <c r="FQ5" s="16">
        <v>11066000</v>
      </c>
      <c r="FR5" s="16">
        <v>10468000</v>
      </c>
      <c r="FS5" s="16">
        <v>10186000</v>
      </c>
      <c r="FT5" s="13">
        <v>8507000</v>
      </c>
      <c r="FU5" s="16">
        <v>5852000</v>
      </c>
      <c r="FV5" s="13">
        <v>4981000</v>
      </c>
      <c r="FW5" s="16">
        <v>5785000</v>
      </c>
      <c r="FX5" s="16">
        <v>6052000</v>
      </c>
      <c r="FY5" s="16">
        <v>4735000</v>
      </c>
      <c r="FZ5" s="16">
        <v>5250000</v>
      </c>
      <c r="GA5" s="16">
        <v>7538000</v>
      </c>
      <c r="GB5" s="197">
        <v>8022000</v>
      </c>
      <c r="GC5" s="197">
        <v>12035000</v>
      </c>
      <c r="GD5" s="16">
        <v>9430000</v>
      </c>
      <c r="GE5" s="16">
        <v>5294000</v>
      </c>
      <c r="GF5" s="13">
        <v>7325000</v>
      </c>
      <c r="GG5" s="415">
        <v>6779000</v>
      </c>
    </row>
    <row r="6" spans="2:189" ht="14.25">
      <c r="B6" s="13">
        <v>8195000</v>
      </c>
      <c r="C6" s="16">
        <v>8153000</v>
      </c>
      <c r="D6" s="16">
        <v>14524000</v>
      </c>
      <c r="E6" s="16">
        <v>13586000</v>
      </c>
      <c r="F6" s="16">
        <v>9254000</v>
      </c>
      <c r="G6" s="16">
        <v>8687000</v>
      </c>
      <c r="H6" s="16">
        <v>8287000</v>
      </c>
      <c r="I6" s="16">
        <v>8382000</v>
      </c>
      <c r="J6" s="16">
        <v>7508000</v>
      </c>
      <c r="K6" s="16">
        <v>7555000</v>
      </c>
      <c r="L6" s="16">
        <v>7897000</v>
      </c>
      <c r="M6" s="16">
        <v>7348000</v>
      </c>
      <c r="N6" s="16">
        <v>8257000</v>
      </c>
      <c r="O6" s="16">
        <v>9419000</v>
      </c>
      <c r="P6" s="16">
        <v>8786000</v>
      </c>
      <c r="Q6" s="16">
        <v>8956000</v>
      </c>
      <c r="R6" s="16">
        <v>10043000</v>
      </c>
      <c r="S6" s="16">
        <v>8007000</v>
      </c>
      <c r="T6" s="16">
        <v>7545000</v>
      </c>
      <c r="U6" s="16">
        <v>7991000</v>
      </c>
      <c r="V6" s="16">
        <v>7593000</v>
      </c>
      <c r="W6" s="16">
        <v>8180000</v>
      </c>
      <c r="X6" s="16">
        <v>7503000</v>
      </c>
      <c r="Y6" s="16">
        <v>6892000</v>
      </c>
      <c r="Z6" s="16">
        <v>8238000</v>
      </c>
      <c r="AA6" s="16">
        <v>8048000</v>
      </c>
      <c r="AB6" s="16">
        <v>8156000</v>
      </c>
      <c r="AC6" s="16">
        <v>10318000</v>
      </c>
      <c r="AD6" s="16">
        <v>12410000</v>
      </c>
      <c r="AE6" s="16">
        <v>9559000</v>
      </c>
      <c r="AF6" s="16">
        <v>10253000</v>
      </c>
      <c r="AG6" s="16">
        <v>7713000</v>
      </c>
      <c r="AH6" s="13">
        <v>7708000</v>
      </c>
      <c r="AI6" s="16">
        <v>7490000</v>
      </c>
      <c r="AJ6" s="16">
        <v>7475000</v>
      </c>
      <c r="AK6" s="16">
        <v>7450000</v>
      </c>
      <c r="AL6" s="16">
        <v>7529000</v>
      </c>
      <c r="AM6" s="16">
        <v>9438000</v>
      </c>
      <c r="AN6" s="16">
        <v>7653000</v>
      </c>
      <c r="AO6" s="16">
        <v>9032000</v>
      </c>
      <c r="AP6" s="16">
        <v>9730000</v>
      </c>
      <c r="AQ6" s="16">
        <v>8620000</v>
      </c>
      <c r="AR6" s="16">
        <v>5830000</v>
      </c>
      <c r="AS6" s="16">
        <v>7427000</v>
      </c>
      <c r="AT6" s="13">
        <v>6294000</v>
      </c>
      <c r="AU6" s="16">
        <v>7013000</v>
      </c>
      <c r="AV6" s="16">
        <v>7301000</v>
      </c>
      <c r="AW6" s="16">
        <v>7979000</v>
      </c>
      <c r="AX6" s="16">
        <v>4643000</v>
      </c>
      <c r="AY6" s="16">
        <v>8910000</v>
      </c>
      <c r="AZ6" s="16">
        <v>5364000</v>
      </c>
      <c r="BA6" s="16">
        <v>11897000</v>
      </c>
      <c r="BB6" s="16">
        <v>7735000</v>
      </c>
      <c r="BC6" s="16">
        <v>7931000</v>
      </c>
      <c r="BD6" s="13">
        <v>6305000</v>
      </c>
      <c r="BE6" s="16">
        <v>7728000</v>
      </c>
      <c r="BF6" s="13">
        <v>6489000</v>
      </c>
      <c r="BG6" s="16">
        <v>6403000</v>
      </c>
      <c r="BH6" s="16">
        <v>6867387</v>
      </c>
      <c r="BI6" s="16">
        <v>6742000</v>
      </c>
      <c r="BJ6" s="16">
        <v>7186000</v>
      </c>
      <c r="BK6" s="16">
        <v>9048000</v>
      </c>
      <c r="BL6" s="16">
        <v>6247000</v>
      </c>
      <c r="BM6" s="16">
        <v>9709000</v>
      </c>
      <c r="BN6" s="16">
        <v>10496000</v>
      </c>
      <c r="BO6" s="16">
        <v>7880000</v>
      </c>
      <c r="BP6" s="13">
        <v>8295000</v>
      </c>
      <c r="BQ6" s="16">
        <v>7446000</v>
      </c>
      <c r="BR6" s="13">
        <v>6754000</v>
      </c>
      <c r="BS6" s="16">
        <v>7683000</v>
      </c>
      <c r="BT6" s="16">
        <v>8534000</v>
      </c>
      <c r="BU6" s="16">
        <v>7714000</v>
      </c>
      <c r="BV6" s="16">
        <v>6748000</v>
      </c>
      <c r="BW6" s="16">
        <v>9090000</v>
      </c>
      <c r="BX6" s="16">
        <v>7771000</v>
      </c>
      <c r="BY6" s="16">
        <v>8381000</v>
      </c>
      <c r="BZ6" s="16">
        <v>8786000</v>
      </c>
      <c r="CA6" s="16">
        <v>9787000</v>
      </c>
      <c r="CB6" s="13">
        <v>7614000</v>
      </c>
      <c r="CC6" s="16">
        <v>4705000</v>
      </c>
      <c r="CD6" s="13">
        <v>7284000</v>
      </c>
      <c r="CE6" s="16">
        <v>7063000</v>
      </c>
      <c r="CF6" s="16">
        <v>7427000</v>
      </c>
      <c r="CG6" s="16">
        <v>6799000</v>
      </c>
      <c r="CH6" s="16">
        <v>9303000</v>
      </c>
      <c r="CI6" s="16">
        <v>11992000</v>
      </c>
      <c r="CJ6" s="16">
        <v>12971000</v>
      </c>
      <c r="CK6" s="16">
        <v>10095000</v>
      </c>
      <c r="CL6" s="16">
        <v>11490000</v>
      </c>
      <c r="CM6" s="16">
        <v>6765000</v>
      </c>
      <c r="CN6" s="13">
        <v>7933000</v>
      </c>
      <c r="CO6" s="16">
        <v>7266000</v>
      </c>
      <c r="CP6" s="13">
        <v>7012000</v>
      </c>
      <c r="CQ6" s="16">
        <v>6881000</v>
      </c>
      <c r="CR6" s="16">
        <v>7073000</v>
      </c>
      <c r="CS6" s="16">
        <v>7589000</v>
      </c>
      <c r="CT6" s="16">
        <v>7686000</v>
      </c>
      <c r="CU6" s="16">
        <v>7867000</v>
      </c>
      <c r="CV6" s="16">
        <v>11803000</v>
      </c>
      <c r="CW6" s="16">
        <v>10763000</v>
      </c>
      <c r="CX6" s="16">
        <v>11066000</v>
      </c>
      <c r="CY6" s="16">
        <v>9910000</v>
      </c>
      <c r="CZ6" s="13">
        <v>9331000</v>
      </c>
      <c r="DA6" s="16">
        <v>7244000</v>
      </c>
      <c r="DB6" s="13">
        <v>7686000</v>
      </c>
      <c r="DC6" s="16">
        <v>6843000</v>
      </c>
      <c r="DD6" s="16">
        <v>6880000</v>
      </c>
      <c r="DE6" s="22">
        <v>6490000</v>
      </c>
      <c r="DF6" s="16">
        <v>7040000</v>
      </c>
      <c r="DG6" s="16">
        <v>8093000</v>
      </c>
      <c r="DH6" s="16">
        <v>11779000</v>
      </c>
      <c r="DI6" s="16">
        <v>7956000</v>
      </c>
      <c r="DJ6" s="16">
        <v>8960000</v>
      </c>
      <c r="DK6" s="16">
        <v>10016000</v>
      </c>
      <c r="DL6" s="13">
        <v>8859000</v>
      </c>
      <c r="DM6" s="16">
        <v>6746000</v>
      </c>
      <c r="DN6" s="13">
        <v>7023000</v>
      </c>
      <c r="DO6" s="16">
        <v>8951000</v>
      </c>
      <c r="DP6" s="16">
        <v>7434000</v>
      </c>
      <c r="DQ6" s="16">
        <v>6361000</v>
      </c>
      <c r="DR6" s="16">
        <v>7472000</v>
      </c>
      <c r="DS6" s="16">
        <v>7943000</v>
      </c>
      <c r="DT6" s="16">
        <v>10096000</v>
      </c>
      <c r="DU6" s="16">
        <v>11502000</v>
      </c>
      <c r="DV6" s="16">
        <v>8509000</v>
      </c>
      <c r="DW6" s="16">
        <v>9173000</v>
      </c>
      <c r="DX6" s="13">
        <v>8087000</v>
      </c>
      <c r="DY6" s="16">
        <v>8213000</v>
      </c>
      <c r="DZ6" s="13">
        <v>7347000</v>
      </c>
      <c r="EA6" s="16">
        <v>7436000</v>
      </c>
      <c r="EB6" s="16">
        <v>7436000</v>
      </c>
      <c r="EC6" s="16">
        <v>6808000</v>
      </c>
      <c r="ED6" s="16">
        <v>6991000</v>
      </c>
      <c r="EE6" s="16">
        <v>6667000</v>
      </c>
      <c r="EF6" s="16">
        <v>8052000</v>
      </c>
      <c r="EG6" s="16">
        <v>10392000</v>
      </c>
      <c r="EH6" s="16">
        <v>10930000</v>
      </c>
      <c r="EI6" s="16">
        <v>9043000</v>
      </c>
      <c r="EJ6" s="13">
        <v>7568000</v>
      </c>
      <c r="EK6" s="16">
        <v>6615000</v>
      </c>
      <c r="EL6" s="13">
        <v>6183000</v>
      </c>
      <c r="EM6" s="16">
        <v>6752000</v>
      </c>
      <c r="EN6" s="16">
        <v>6350000</v>
      </c>
      <c r="EO6" s="16">
        <v>6694000</v>
      </c>
      <c r="EP6" s="16">
        <v>6868000</v>
      </c>
      <c r="EQ6" s="16">
        <v>7319000</v>
      </c>
      <c r="ER6" s="16">
        <v>8988000</v>
      </c>
      <c r="ES6" s="16">
        <v>9601000</v>
      </c>
      <c r="ET6" s="16">
        <v>12347000</v>
      </c>
      <c r="EU6" s="16">
        <v>9616000</v>
      </c>
      <c r="EV6" s="13">
        <v>9942000</v>
      </c>
      <c r="EW6" s="16">
        <v>9244000</v>
      </c>
      <c r="EX6" s="13">
        <v>8280000</v>
      </c>
      <c r="EY6" s="16">
        <v>8403000</v>
      </c>
      <c r="EZ6">
        <v>7552000</v>
      </c>
      <c r="FA6" s="16">
        <v>7154000</v>
      </c>
      <c r="FB6" s="16">
        <v>8558000</v>
      </c>
      <c r="FC6" s="357">
        <v>8035230</v>
      </c>
      <c r="FD6" s="357">
        <v>8711680</v>
      </c>
      <c r="FE6" s="357">
        <v>8636980</v>
      </c>
      <c r="FF6" s="359">
        <v>9660000</v>
      </c>
      <c r="FG6" s="16">
        <v>8689000</v>
      </c>
      <c r="FH6" s="13">
        <v>7306000</v>
      </c>
      <c r="FI6" s="16">
        <v>7739000</v>
      </c>
      <c r="FJ6" s="13">
        <v>7286000</v>
      </c>
      <c r="FK6" s="16">
        <v>8597000</v>
      </c>
      <c r="FL6" s="16">
        <v>5955000</v>
      </c>
      <c r="FM6" s="16">
        <v>8576000</v>
      </c>
      <c r="FN6" s="16">
        <v>6715000</v>
      </c>
      <c r="FO6" s="16">
        <v>8096000</v>
      </c>
      <c r="FP6" s="16">
        <v>9283000</v>
      </c>
      <c r="FQ6" s="16">
        <v>9376000</v>
      </c>
      <c r="FR6" s="16">
        <v>9654000</v>
      </c>
      <c r="FS6" s="16">
        <v>7821000</v>
      </c>
      <c r="FT6" s="13">
        <v>6549000</v>
      </c>
      <c r="FU6" s="16">
        <v>5880000</v>
      </c>
      <c r="FV6" s="13">
        <v>6294000</v>
      </c>
      <c r="FW6" s="16">
        <v>7622000</v>
      </c>
      <c r="FX6" s="16">
        <v>5645000</v>
      </c>
      <c r="FY6" s="16">
        <v>6966000</v>
      </c>
      <c r="FZ6" s="16">
        <v>7159000</v>
      </c>
      <c r="GA6" s="16">
        <v>8482000</v>
      </c>
      <c r="GB6" s="197">
        <v>9705000</v>
      </c>
      <c r="GC6" s="197">
        <v>10881000</v>
      </c>
      <c r="GD6" s="16">
        <v>9630000</v>
      </c>
      <c r="GE6" s="16">
        <v>5806000</v>
      </c>
      <c r="GF6" s="13">
        <v>7400000</v>
      </c>
      <c r="GG6" s="415">
        <v>7667000</v>
      </c>
    </row>
    <row r="7" spans="2:189" ht="14.25">
      <c r="B7" s="13">
        <v>8719000</v>
      </c>
      <c r="C7" s="16">
        <v>9372000</v>
      </c>
      <c r="D7" s="16">
        <v>14306000</v>
      </c>
      <c r="E7" s="16">
        <v>11716000</v>
      </c>
      <c r="F7" s="16">
        <v>9279000</v>
      </c>
      <c r="G7" s="16">
        <v>8908000</v>
      </c>
      <c r="H7" s="16">
        <v>8672000</v>
      </c>
      <c r="I7" s="16">
        <v>8330000</v>
      </c>
      <c r="J7" s="16">
        <v>6421000</v>
      </c>
      <c r="K7" s="16">
        <v>7825000</v>
      </c>
      <c r="L7" s="16">
        <v>7880000</v>
      </c>
      <c r="M7" s="16">
        <v>7523000</v>
      </c>
      <c r="N7" s="16">
        <v>8345000</v>
      </c>
      <c r="O7" s="16">
        <v>8037000</v>
      </c>
      <c r="P7" s="16">
        <v>8410000</v>
      </c>
      <c r="Q7" s="16">
        <v>10430000</v>
      </c>
      <c r="R7" s="16">
        <v>10339000</v>
      </c>
      <c r="S7" s="16">
        <v>11453000</v>
      </c>
      <c r="T7" s="16">
        <v>7996000</v>
      </c>
      <c r="U7" s="16">
        <v>7606000</v>
      </c>
      <c r="V7" s="16">
        <v>7011000</v>
      </c>
      <c r="W7" s="16">
        <v>7467000</v>
      </c>
      <c r="X7" s="16">
        <v>7455000</v>
      </c>
      <c r="Y7" s="16">
        <v>8118000</v>
      </c>
      <c r="Z7" s="16">
        <v>7674000</v>
      </c>
      <c r="AA7" s="16">
        <v>8160000</v>
      </c>
      <c r="AB7" s="16">
        <v>7445000</v>
      </c>
      <c r="AC7" s="16">
        <v>11447000</v>
      </c>
      <c r="AD7" s="16">
        <v>11002000</v>
      </c>
      <c r="AE7" s="16">
        <v>9217000</v>
      </c>
      <c r="AF7" s="16">
        <v>8008000</v>
      </c>
      <c r="AG7" s="16">
        <v>6846000</v>
      </c>
      <c r="AH7" s="13">
        <v>7053000</v>
      </c>
      <c r="AI7" s="16">
        <v>6807000</v>
      </c>
      <c r="AJ7" s="16">
        <v>7263000</v>
      </c>
      <c r="AK7" s="16">
        <v>6234000</v>
      </c>
      <c r="AL7" s="16">
        <v>7317000</v>
      </c>
      <c r="AM7" s="16">
        <v>8610000</v>
      </c>
      <c r="AN7" s="16">
        <v>8410000</v>
      </c>
      <c r="AO7" s="16">
        <v>11706000</v>
      </c>
      <c r="AP7" s="16">
        <v>8582000</v>
      </c>
      <c r="AQ7" s="16">
        <v>7570000</v>
      </c>
      <c r="AR7" s="16">
        <v>6492000</v>
      </c>
      <c r="AS7" s="16">
        <v>6408000</v>
      </c>
      <c r="AT7" s="13">
        <v>6294000</v>
      </c>
      <c r="AU7" s="16">
        <v>6034000</v>
      </c>
      <c r="AV7" s="16">
        <v>4505000</v>
      </c>
      <c r="AW7" s="16">
        <v>4397000</v>
      </c>
      <c r="AX7" s="16">
        <v>5413000</v>
      </c>
      <c r="AY7" s="16">
        <v>5409000</v>
      </c>
      <c r="AZ7" s="16">
        <v>5497000</v>
      </c>
      <c r="BA7" s="16">
        <v>10412000</v>
      </c>
      <c r="BB7" s="16">
        <v>8246000</v>
      </c>
      <c r="BC7" s="16">
        <v>6993000</v>
      </c>
      <c r="BD7" s="13">
        <v>7188000</v>
      </c>
      <c r="BE7" s="16">
        <v>6753000</v>
      </c>
      <c r="BF7" s="13">
        <v>6132000</v>
      </c>
      <c r="BG7" s="16">
        <v>7073000</v>
      </c>
      <c r="BH7" s="16">
        <v>6760502</v>
      </c>
      <c r="BI7" s="16">
        <v>6935000</v>
      </c>
      <c r="BJ7" s="16">
        <v>6705000</v>
      </c>
      <c r="BK7" s="16">
        <v>7964000</v>
      </c>
      <c r="BL7" s="16">
        <v>6451000</v>
      </c>
      <c r="BM7" s="16">
        <v>11300000</v>
      </c>
      <c r="BN7" s="16">
        <v>10328000</v>
      </c>
      <c r="BO7" s="16">
        <v>8296000</v>
      </c>
      <c r="BP7" s="13">
        <v>7606000</v>
      </c>
      <c r="BQ7" s="16">
        <v>7240000</v>
      </c>
      <c r="BR7" s="13">
        <v>7138000</v>
      </c>
      <c r="BS7" s="16">
        <v>7844000</v>
      </c>
      <c r="BT7" s="16">
        <v>7870000</v>
      </c>
      <c r="BU7" s="16">
        <v>7306000</v>
      </c>
      <c r="BV7" s="16">
        <v>7858000</v>
      </c>
      <c r="BW7" s="16">
        <v>11062000</v>
      </c>
      <c r="BX7" s="16">
        <v>9162000</v>
      </c>
      <c r="BY7" s="16">
        <v>9302000</v>
      </c>
      <c r="BZ7" s="16">
        <v>10137000</v>
      </c>
      <c r="CA7" s="16">
        <v>8936000</v>
      </c>
      <c r="CB7" s="13">
        <v>8214000</v>
      </c>
      <c r="CC7" s="16">
        <v>7311000</v>
      </c>
      <c r="CD7" s="13">
        <v>7074000</v>
      </c>
      <c r="CE7" s="16">
        <v>7070000</v>
      </c>
      <c r="CF7" s="16">
        <v>8171000</v>
      </c>
      <c r="CG7" s="16">
        <v>8163000</v>
      </c>
      <c r="CH7" s="16">
        <v>9278000</v>
      </c>
      <c r="CI7" s="16">
        <v>10045000</v>
      </c>
      <c r="CJ7" s="16">
        <v>12705000</v>
      </c>
      <c r="CK7" s="16">
        <v>11556000</v>
      </c>
      <c r="CL7" s="16">
        <v>11697000</v>
      </c>
      <c r="CM7" s="16">
        <v>8589000</v>
      </c>
      <c r="CN7" s="13">
        <v>8809000</v>
      </c>
      <c r="CO7" s="16">
        <v>7123000</v>
      </c>
      <c r="CP7" s="13">
        <v>6861000</v>
      </c>
      <c r="CQ7" s="16">
        <v>7051000</v>
      </c>
      <c r="CR7" s="16">
        <v>6400000</v>
      </c>
      <c r="CS7" s="16">
        <v>7268000</v>
      </c>
      <c r="CT7" s="16">
        <v>7660000</v>
      </c>
      <c r="CU7" s="16">
        <v>10106000</v>
      </c>
      <c r="CV7" s="16">
        <v>11023000</v>
      </c>
      <c r="CW7" s="16">
        <v>11710000</v>
      </c>
      <c r="CX7" s="16">
        <v>8850000</v>
      </c>
      <c r="CY7" s="16">
        <v>10335000</v>
      </c>
      <c r="CZ7" s="13">
        <v>8001000</v>
      </c>
      <c r="DA7" s="16">
        <v>8049000</v>
      </c>
      <c r="DB7" s="16">
        <v>7686000</v>
      </c>
      <c r="DC7" s="16">
        <v>7488000</v>
      </c>
      <c r="DD7" s="16">
        <v>7232000</v>
      </c>
      <c r="DE7" s="22">
        <v>7504000</v>
      </c>
      <c r="DF7" s="16">
        <v>6752000</v>
      </c>
      <c r="DG7" s="16">
        <v>7632000</v>
      </c>
      <c r="DH7" s="16">
        <v>9223000</v>
      </c>
      <c r="DI7" s="16">
        <v>8448000</v>
      </c>
      <c r="DJ7" s="16">
        <v>9676000</v>
      </c>
      <c r="DK7" s="16">
        <v>9509000</v>
      </c>
      <c r="DL7" s="13">
        <v>8336000</v>
      </c>
      <c r="DM7" s="16">
        <v>7825000</v>
      </c>
      <c r="DN7" s="13">
        <v>6877000</v>
      </c>
      <c r="DO7" s="16">
        <v>7747000</v>
      </c>
      <c r="DP7" s="16">
        <v>6897000</v>
      </c>
      <c r="DQ7" s="16">
        <v>6675000</v>
      </c>
      <c r="DR7" s="16">
        <v>6714000</v>
      </c>
      <c r="DS7" s="16">
        <v>7943000</v>
      </c>
      <c r="DT7" s="16">
        <v>8886000</v>
      </c>
      <c r="DU7" s="16">
        <v>11161000</v>
      </c>
      <c r="DV7" s="16">
        <v>8881000</v>
      </c>
      <c r="DW7" s="16">
        <v>8619000</v>
      </c>
      <c r="DX7" s="13">
        <v>7912000</v>
      </c>
      <c r="DY7" s="16">
        <v>6913000</v>
      </c>
      <c r="DZ7" s="13">
        <v>6693000</v>
      </c>
      <c r="EA7" s="16">
        <v>6981000</v>
      </c>
      <c r="EB7" s="16">
        <v>6805000</v>
      </c>
      <c r="EC7" s="16">
        <v>7534000</v>
      </c>
      <c r="ED7" s="16">
        <v>6556000</v>
      </c>
      <c r="EE7" s="16">
        <v>8335000</v>
      </c>
      <c r="EF7" s="16">
        <v>8026000</v>
      </c>
      <c r="EG7" s="16">
        <v>10965000</v>
      </c>
      <c r="EH7" s="16">
        <v>10833000</v>
      </c>
      <c r="EI7" s="16">
        <v>7199000</v>
      </c>
      <c r="EJ7" s="13">
        <v>6089000</v>
      </c>
      <c r="EK7" s="16">
        <v>7119000</v>
      </c>
      <c r="EL7" s="13">
        <v>7219000</v>
      </c>
      <c r="EM7" s="16">
        <v>6877000</v>
      </c>
      <c r="EN7" s="16">
        <v>6989000</v>
      </c>
      <c r="EO7" s="16">
        <v>6457000</v>
      </c>
      <c r="EP7" s="16">
        <v>7612000</v>
      </c>
      <c r="EQ7" s="16">
        <v>6999000</v>
      </c>
      <c r="ER7" s="16">
        <v>8581000</v>
      </c>
      <c r="ES7" s="16">
        <v>11166000</v>
      </c>
      <c r="ET7" s="16">
        <v>12592000</v>
      </c>
      <c r="EU7" s="16">
        <v>11501000</v>
      </c>
      <c r="EV7" s="13">
        <v>9325000</v>
      </c>
      <c r="EW7" s="16">
        <v>9806000</v>
      </c>
      <c r="EX7" s="13">
        <v>7770000</v>
      </c>
      <c r="EY7" s="16">
        <v>8844000</v>
      </c>
      <c r="EZ7">
        <v>7362000</v>
      </c>
      <c r="FA7" s="16">
        <v>7173000</v>
      </c>
      <c r="FB7" s="16">
        <v>7395000</v>
      </c>
      <c r="FC7" s="357">
        <v>9016290</v>
      </c>
      <c r="FD7" s="357">
        <v>9549980</v>
      </c>
      <c r="FE7" s="357">
        <v>10093630</v>
      </c>
      <c r="FF7" s="359">
        <v>8521000</v>
      </c>
      <c r="FG7" s="16">
        <v>9099000</v>
      </c>
      <c r="FH7" s="13">
        <v>8115000</v>
      </c>
      <c r="FI7" s="16">
        <v>7635000</v>
      </c>
      <c r="FJ7" s="13">
        <v>7850000</v>
      </c>
      <c r="FK7" s="16">
        <v>9043000</v>
      </c>
      <c r="FL7" s="16">
        <v>6695000</v>
      </c>
      <c r="FM7" s="16">
        <v>6836000</v>
      </c>
      <c r="FN7" s="16">
        <v>6696000</v>
      </c>
      <c r="FO7" s="16">
        <v>7686000</v>
      </c>
      <c r="FP7" s="16">
        <v>8630000</v>
      </c>
      <c r="FQ7" s="16">
        <v>8005000</v>
      </c>
      <c r="FR7" s="16">
        <v>10252000</v>
      </c>
      <c r="FS7" s="16">
        <v>7863000</v>
      </c>
      <c r="FT7" s="13">
        <v>8010000</v>
      </c>
      <c r="FU7" s="16">
        <v>6724000</v>
      </c>
      <c r="FV7" s="13">
        <v>5728000</v>
      </c>
      <c r="FW7" s="16">
        <v>5392000</v>
      </c>
      <c r="FX7" s="16">
        <v>7032000</v>
      </c>
      <c r="FY7" s="16">
        <v>6581000</v>
      </c>
      <c r="FZ7" s="16">
        <v>6534000</v>
      </c>
      <c r="GA7" s="16">
        <v>8252000</v>
      </c>
      <c r="GB7" s="197">
        <v>9922000</v>
      </c>
      <c r="GC7" s="197">
        <v>7283000</v>
      </c>
      <c r="GD7" s="16">
        <v>9157000</v>
      </c>
      <c r="GE7" s="16">
        <v>8562000</v>
      </c>
      <c r="GF7" s="13">
        <v>7840000</v>
      </c>
      <c r="GG7" s="415">
        <v>7243000</v>
      </c>
    </row>
    <row r="8" spans="2:189" ht="14.25">
      <c r="B8" s="13">
        <v>8704000</v>
      </c>
      <c r="C8" s="16">
        <v>8977000</v>
      </c>
      <c r="D8" s="16">
        <v>13335000</v>
      </c>
      <c r="E8" s="16">
        <v>12806000</v>
      </c>
      <c r="F8" s="16">
        <v>9222000</v>
      </c>
      <c r="G8" s="16">
        <v>7538000</v>
      </c>
      <c r="H8" s="16">
        <v>7981000</v>
      </c>
      <c r="I8" s="16">
        <v>8601000</v>
      </c>
      <c r="J8" s="16">
        <v>8239000</v>
      </c>
      <c r="K8" s="16">
        <v>8110000</v>
      </c>
      <c r="L8" s="16">
        <v>7528000</v>
      </c>
      <c r="M8" s="16">
        <v>7278000</v>
      </c>
      <c r="N8" s="16">
        <v>7685000</v>
      </c>
      <c r="O8" s="16">
        <v>8427000</v>
      </c>
      <c r="P8" s="16">
        <v>9105000</v>
      </c>
      <c r="Q8" s="16">
        <v>8997000</v>
      </c>
      <c r="R8" s="16">
        <v>10710000</v>
      </c>
      <c r="S8" s="16">
        <v>8703000</v>
      </c>
      <c r="T8" s="16">
        <v>8042000</v>
      </c>
      <c r="U8" s="16">
        <v>7365000</v>
      </c>
      <c r="V8" s="16">
        <v>7765000</v>
      </c>
      <c r="W8" s="16">
        <v>8437000</v>
      </c>
      <c r="X8" s="16">
        <v>6962000</v>
      </c>
      <c r="Y8" s="16">
        <v>7055000</v>
      </c>
      <c r="Z8" s="16">
        <v>7200000</v>
      </c>
      <c r="AA8" s="16">
        <v>8592000</v>
      </c>
      <c r="AB8" s="16">
        <v>8423000</v>
      </c>
      <c r="AC8" s="16">
        <v>12813000</v>
      </c>
      <c r="AD8" s="16">
        <v>10300000</v>
      </c>
      <c r="AE8" s="16">
        <v>8216000</v>
      </c>
      <c r="AF8" s="16">
        <v>7683000</v>
      </c>
      <c r="AG8" s="16">
        <v>7623000</v>
      </c>
      <c r="AH8" s="13">
        <v>7532000</v>
      </c>
      <c r="AI8" s="16">
        <v>7401000</v>
      </c>
      <c r="AJ8" s="16">
        <v>7803000</v>
      </c>
      <c r="AK8" s="16">
        <v>7200000</v>
      </c>
      <c r="AL8" s="16">
        <v>7596000</v>
      </c>
      <c r="AM8" s="16">
        <v>8528000</v>
      </c>
      <c r="AN8" s="16">
        <v>7605000</v>
      </c>
      <c r="AO8" s="16">
        <v>9803000</v>
      </c>
      <c r="AP8" s="16">
        <v>8293000</v>
      </c>
      <c r="AQ8" s="16">
        <v>7109000</v>
      </c>
      <c r="AR8" s="16">
        <v>6146000</v>
      </c>
      <c r="AS8" s="16">
        <v>6848000</v>
      </c>
      <c r="AT8" s="13">
        <v>6294000</v>
      </c>
      <c r="AU8" s="16">
        <v>6246000</v>
      </c>
      <c r="AV8" s="16">
        <v>6384000</v>
      </c>
      <c r="AW8" s="16">
        <v>4640000</v>
      </c>
      <c r="AX8" s="16">
        <v>5340000</v>
      </c>
      <c r="AY8" s="16">
        <v>5267000</v>
      </c>
      <c r="AZ8" s="16">
        <v>7556000</v>
      </c>
      <c r="BA8" s="16">
        <v>8083000</v>
      </c>
      <c r="BB8" s="16">
        <v>8596000</v>
      </c>
      <c r="BC8" s="16">
        <v>7756000</v>
      </c>
      <c r="BD8" s="13">
        <v>7678000</v>
      </c>
      <c r="BE8" s="16">
        <v>6606000</v>
      </c>
      <c r="BF8" s="16">
        <v>4966000</v>
      </c>
      <c r="BG8" s="16">
        <v>7085000</v>
      </c>
      <c r="BH8" s="16">
        <v>7442442</v>
      </c>
      <c r="BI8" s="16">
        <v>6905000</v>
      </c>
      <c r="BJ8" s="16">
        <v>7328000</v>
      </c>
      <c r="BK8" s="16">
        <v>9909000</v>
      </c>
      <c r="BL8" s="16">
        <v>6979000</v>
      </c>
      <c r="BM8" s="16">
        <v>12131000</v>
      </c>
      <c r="BN8" s="16">
        <v>7661000</v>
      </c>
      <c r="BO8" s="16">
        <v>8493000</v>
      </c>
      <c r="BP8" s="13">
        <v>8151000</v>
      </c>
      <c r="BQ8" s="16">
        <v>6734000</v>
      </c>
      <c r="BR8" s="16">
        <v>7645000</v>
      </c>
      <c r="BS8" s="16">
        <v>8503000</v>
      </c>
      <c r="BT8" s="16">
        <v>7801000</v>
      </c>
      <c r="BU8" s="16">
        <v>8041000</v>
      </c>
      <c r="BV8" s="16">
        <v>10032000</v>
      </c>
      <c r="BW8" s="16">
        <v>7675000</v>
      </c>
      <c r="BX8" s="16">
        <v>9588000</v>
      </c>
      <c r="BY8" s="16">
        <v>10046000</v>
      </c>
      <c r="BZ8" s="16">
        <v>8775000</v>
      </c>
      <c r="CA8" s="16">
        <v>10723000</v>
      </c>
      <c r="CB8" s="13">
        <v>8193000</v>
      </c>
      <c r="CC8" s="16">
        <v>6908000</v>
      </c>
      <c r="CD8" s="16">
        <v>7136000</v>
      </c>
      <c r="CE8" s="16">
        <v>8553000</v>
      </c>
      <c r="CF8" s="16">
        <v>7710000</v>
      </c>
      <c r="CG8" s="16">
        <v>7986000</v>
      </c>
      <c r="CH8" s="16">
        <v>8725000</v>
      </c>
      <c r="CI8" s="16">
        <v>10302000</v>
      </c>
      <c r="CJ8" s="16">
        <v>10885000</v>
      </c>
      <c r="CK8" s="16">
        <v>11705000</v>
      </c>
      <c r="CL8" s="16">
        <v>10476000</v>
      </c>
      <c r="CM8" s="16">
        <v>8798000</v>
      </c>
      <c r="CN8" s="13">
        <v>8695000</v>
      </c>
      <c r="CO8" s="16">
        <v>7062000</v>
      </c>
      <c r="CP8" s="13">
        <v>7198000</v>
      </c>
      <c r="CQ8" s="16">
        <v>7481000</v>
      </c>
      <c r="CR8" s="16">
        <v>7835000</v>
      </c>
      <c r="CS8" s="16">
        <v>6855000</v>
      </c>
      <c r="CT8" s="16">
        <v>8190000</v>
      </c>
      <c r="CU8" s="16">
        <v>8183000</v>
      </c>
      <c r="CV8" s="16">
        <v>10837000</v>
      </c>
      <c r="CW8" s="16">
        <v>11364000</v>
      </c>
      <c r="CX8" s="16">
        <v>11486000</v>
      </c>
      <c r="CY8" s="16">
        <v>10407000</v>
      </c>
      <c r="CZ8" s="13">
        <v>10156000</v>
      </c>
      <c r="DA8" s="16">
        <v>7560000</v>
      </c>
      <c r="DB8" s="16">
        <v>7337000</v>
      </c>
      <c r="DC8" s="16">
        <v>7632000</v>
      </c>
      <c r="DD8" s="16">
        <v>7513000</v>
      </c>
      <c r="DE8" s="22">
        <v>7094000</v>
      </c>
      <c r="DF8" s="16">
        <v>6993000</v>
      </c>
      <c r="DG8" s="16">
        <v>6924000</v>
      </c>
      <c r="DH8" s="16">
        <v>9602000</v>
      </c>
      <c r="DI8" s="16">
        <v>9133000</v>
      </c>
      <c r="DJ8" s="16">
        <v>10867000</v>
      </c>
      <c r="DK8" s="16">
        <v>10343000</v>
      </c>
      <c r="DL8" s="13">
        <v>9152000</v>
      </c>
      <c r="DM8" s="16">
        <v>6729000</v>
      </c>
      <c r="DN8" s="16">
        <v>7301000</v>
      </c>
      <c r="DO8" s="16">
        <v>6219000</v>
      </c>
      <c r="DP8" s="16">
        <v>6752000</v>
      </c>
      <c r="DQ8" s="16">
        <v>7286000</v>
      </c>
      <c r="DR8" s="16">
        <v>6964000</v>
      </c>
      <c r="DS8" s="16">
        <v>7943000</v>
      </c>
      <c r="DT8" s="16">
        <v>11498000</v>
      </c>
      <c r="DU8" s="16">
        <v>10254000</v>
      </c>
      <c r="DV8" s="16">
        <v>9524000</v>
      </c>
      <c r="DW8" s="16">
        <v>8917000</v>
      </c>
      <c r="DX8" s="13">
        <v>8630000</v>
      </c>
      <c r="DY8" s="16">
        <v>6815000</v>
      </c>
      <c r="DZ8" s="13">
        <v>6708000</v>
      </c>
      <c r="EA8" s="16">
        <v>6798000</v>
      </c>
      <c r="EB8" s="16">
        <v>7922000</v>
      </c>
      <c r="EC8" s="16">
        <v>8220000</v>
      </c>
      <c r="ED8" s="16">
        <v>7464000</v>
      </c>
      <c r="EE8" s="16">
        <v>8866000</v>
      </c>
      <c r="EF8" s="16">
        <v>8630000</v>
      </c>
      <c r="EG8" s="16">
        <v>11145000</v>
      </c>
      <c r="EH8" s="16">
        <v>9876000</v>
      </c>
      <c r="EI8" s="16">
        <v>9072000</v>
      </c>
      <c r="EJ8" s="13">
        <v>7147000</v>
      </c>
      <c r="EK8" s="16">
        <v>6742000</v>
      </c>
      <c r="EL8" s="13">
        <v>6217000</v>
      </c>
      <c r="EM8" s="16">
        <v>6972000</v>
      </c>
      <c r="EN8" s="16">
        <v>6436000</v>
      </c>
      <c r="EO8" s="16">
        <v>13324000</v>
      </c>
      <c r="EP8" s="16">
        <v>6708000</v>
      </c>
      <c r="EQ8" s="16">
        <v>7611000</v>
      </c>
      <c r="ER8" s="16">
        <v>11146000</v>
      </c>
      <c r="ES8" s="16">
        <v>10440000</v>
      </c>
      <c r="ET8" s="16">
        <v>11853000</v>
      </c>
      <c r="EU8" s="16">
        <v>10950000</v>
      </c>
      <c r="EV8" s="13">
        <v>10128000</v>
      </c>
      <c r="EW8" s="16">
        <v>10682000</v>
      </c>
      <c r="EX8" s="13">
        <v>8261000</v>
      </c>
      <c r="EY8" s="16">
        <v>7920000</v>
      </c>
      <c r="EZ8">
        <v>6951000</v>
      </c>
      <c r="FA8" s="16">
        <v>7185000</v>
      </c>
      <c r="FB8" s="16">
        <v>7856000</v>
      </c>
      <c r="FC8" s="357">
        <v>8786380</v>
      </c>
      <c r="FD8" s="357">
        <v>9618040</v>
      </c>
      <c r="FE8" s="357">
        <v>12076500</v>
      </c>
      <c r="FF8" s="359">
        <v>10467000</v>
      </c>
      <c r="FG8" s="16">
        <v>8710000</v>
      </c>
      <c r="FH8" s="13">
        <v>6580000</v>
      </c>
      <c r="FI8" s="16">
        <v>7233000</v>
      </c>
      <c r="FJ8" s="13">
        <v>6746000</v>
      </c>
      <c r="FK8" s="16">
        <v>6309000</v>
      </c>
      <c r="FL8" s="16">
        <v>5583000</v>
      </c>
      <c r="FM8" s="16">
        <v>6110000</v>
      </c>
      <c r="FN8" s="16">
        <v>6537000</v>
      </c>
      <c r="FO8" s="16">
        <v>9373000</v>
      </c>
      <c r="FP8" s="16">
        <v>8319000</v>
      </c>
      <c r="FQ8" s="16">
        <v>10647000</v>
      </c>
      <c r="FR8" s="16">
        <v>9582000</v>
      </c>
      <c r="FS8" s="16">
        <v>7686000</v>
      </c>
      <c r="FT8" s="13">
        <v>6144000</v>
      </c>
      <c r="FU8" s="16">
        <v>6418000</v>
      </c>
      <c r="FV8" s="13">
        <v>6820000</v>
      </c>
      <c r="FW8" s="16">
        <v>6079000</v>
      </c>
      <c r="FX8" s="16">
        <v>7855000</v>
      </c>
      <c r="FY8" s="16">
        <v>6027000</v>
      </c>
      <c r="FZ8" s="16">
        <v>6244000</v>
      </c>
      <c r="GA8" s="16">
        <v>7640000</v>
      </c>
      <c r="GB8" s="197">
        <v>10070000</v>
      </c>
      <c r="GC8" s="197">
        <v>10617000</v>
      </c>
      <c r="GD8" s="16">
        <v>9238000</v>
      </c>
      <c r="GE8" s="16">
        <v>10300000</v>
      </c>
      <c r="GF8" s="13">
        <v>7254000</v>
      </c>
      <c r="GG8" s="415">
        <v>7446000</v>
      </c>
    </row>
    <row r="9" spans="2:189" ht="14.25">
      <c r="B9" s="13">
        <v>7568000</v>
      </c>
      <c r="C9" s="16">
        <v>10324000</v>
      </c>
      <c r="D9" s="16">
        <v>10501000</v>
      </c>
      <c r="E9" s="16">
        <v>12841000</v>
      </c>
      <c r="F9" s="16">
        <v>10090000</v>
      </c>
      <c r="G9" s="16">
        <v>8542000</v>
      </c>
      <c r="H9" s="16">
        <v>8443000</v>
      </c>
      <c r="I9" s="16">
        <v>7410000</v>
      </c>
      <c r="J9" s="16">
        <v>7742000</v>
      </c>
      <c r="K9" s="16">
        <v>7976000</v>
      </c>
      <c r="L9" s="16">
        <v>7453000</v>
      </c>
      <c r="M9" s="16">
        <v>7855000</v>
      </c>
      <c r="N9" s="16">
        <v>8085000</v>
      </c>
      <c r="O9" s="16">
        <v>8505000</v>
      </c>
      <c r="P9" s="16">
        <v>8710000</v>
      </c>
      <c r="Q9" s="16">
        <v>9320000</v>
      </c>
      <c r="R9" s="16">
        <v>11906000</v>
      </c>
      <c r="S9" s="16">
        <v>8800000</v>
      </c>
      <c r="T9" s="16">
        <v>7251000</v>
      </c>
      <c r="U9" s="16">
        <v>6915000</v>
      </c>
      <c r="V9" s="16">
        <v>7513000</v>
      </c>
      <c r="W9" s="16">
        <v>7809000</v>
      </c>
      <c r="X9" s="16">
        <v>8207000</v>
      </c>
      <c r="Y9" s="16">
        <v>7656000</v>
      </c>
      <c r="Z9" s="16">
        <v>7270000</v>
      </c>
      <c r="AA9" s="16">
        <v>9605000</v>
      </c>
      <c r="AB9" s="16">
        <v>9199000</v>
      </c>
      <c r="AC9" s="16">
        <v>11382000</v>
      </c>
      <c r="AD9" s="16">
        <v>10493000</v>
      </c>
      <c r="AE9" s="16">
        <v>7963000</v>
      </c>
      <c r="AF9" s="16">
        <v>8083000</v>
      </c>
      <c r="AG9" s="16">
        <v>7747000</v>
      </c>
      <c r="AH9" s="16">
        <v>6922000</v>
      </c>
      <c r="AI9" s="16">
        <v>6613000</v>
      </c>
      <c r="AJ9" s="16">
        <v>6977000</v>
      </c>
      <c r="AK9" s="16">
        <v>7366000</v>
      </c>
      <c r="AL9" s="16">
        <v>6995000</v>
      </c>
      <c r="AM9" s="16">
        <v>8636000</v>
      </c>
      <c r="AN9" s="16">
        <v>8838000</v>
      </c>
      <c r="AO9" s="16">
        <v>12314000</v>
      </c>
      <c r="AP9" s="16">
        <v>7915000</v>
      </c>
      <c r="AQ9" s="16">
        <v>7084000</v>
      </c>
      <c r="AR9" s="16">
        <v>7285000</v>
      </c>
      <c r="AS9" s="16">
        <v>7463000</v>
      </c>
      <c r="AT9" s="13">
        <v>6294000</v>
      </c>
      <c r="AU9" s="16">
        <v>5858000</v>
      </c>
      <c r="AV9" s="16">
        <v>6602000</v>
      </c>
      <c r="AW9" s="16">
        <v>5515000</v>
      </c>
      <c r="AX9" s="16">
        <v>7327000</v>
      </c>
      <c r="AY9" s="16">
        <v>8385000</v>
      </c>
      <c r="AZ9" s="16">
        <v>10485000</v>
      </c>
      <c r="BA9" s="16">
        <v>11829000</v>
      </c>
      <c r="BB9" s="16">
        <v>7558000</v>
      </c>
      <c r="BC9" s="16">
        <v>7953000</v>
      </c>
      <c r="BD9" s="13">
        <v>7235000</v>
      </c>
      <c r="BE9" s="16">
        <v>6191000</v>
      </c>
      <c r="BF9" s="16">
        <v>6069000</v>
      </c>
      <c r="BG9" s="16">
        <v>6086000</v>
      </c>
      <c r="BH9" s="16">
        <v>6346666</v>
      </c>
      <c r="BI9" s="16">
        <v>7221000</v>
      </c>
      <c r="BJ9" s="16">
        <v>6348000</v>
      </c>
      <c r="BK9" s="16">
        <v>8280000</v>
      </c>
      <c r="BL9" s="16">
        <v>8746000</v>
      </c>
      <c r="BM9" s="16">
        <v>11934000</v>
      </c>
      <c r="BN9" s="16">
        <v>10202000</v>
      </c>
      <c r="BO9" s="16">
        <v>8314000</v>
      </c>
      <c r="BP9" s="13">
        <v>8538000</v>
      </c>
      <c r="BQ9" s="16">
        <v>8690000</v>
      </c>
      <c r="BR9" s="16">
        <v>7455000</v>
      </c>
      <c r="BS9" s="16">
        <v>7472000</v>
      </c>
      <c r="BT9" s="16">
        <v>7593000</v>
      </c>
      <c r="BU9" s="16">
        <v>8126000</v>
      </c>
      <c r="BV9" s="16">
        <v>8659000</v>
      </c>
      <c r="BW9" s="16">
        <v>8125000</v>
      </c>
      <c r="BX9" s="16">
        <v>11343000</v>
      </c>
      <c r="BY9" s="16">
        <v>9724000</v>
      </c>
      <c r="BZ9" s="16">
        <v>10640000</v>
      </c>
      <c r="CA9" s="16">
        <v>9691000</v>
      </c>
      <c r="CB9" s="13">
        <v>10099000</v>
      </c>
      <c r="CC9" s="16">
        <v>7104000</v>
      </c>
      <c r="CD9" s="16">
        <v>7380000</v>
      </c>
      <c r="CE9" s="16">
        <v>8124000</v>
      </c>
      <c r="CF9" s="16">
        <v>7290000</v>
      </c>
      <c r="CG9" s="16">
        <v>8222000</v>
      </c>
      <c r="CH9" s="16">
        <v>9358000</v>
      </c>
      <c r="CI9" s="16">
        <v>13239000</v>
      </c>
      <c r="CJ9" s="16">
        <v>9838000</v>
      </c>
      <c r="CK9" s="16">
        <v>11287000</v>
      </c>
      <c r="CL9" s="16">
        <v>11405000</v>
      </c>
      <c r="CM9" s="16">
        <v>10082000</v>
      </c>
      <c r="CN9" s="13">
        <v>8458000</v>
      </c>
      <c r="CO9" s="16">
        <v>7268000</v>
      </c>
      <c r="CP9" s="16">
        <v>7206000</v>
      </c>
      <c r="CQ9" s="16">
        <v>7077000</v>
      </c>
      <c r="CR9" s="16">
        <v>7902000</v>
      </c>
      <c r="CS9" s="16">
        <v>7241000</v>
      </c>
      <c r="CT9" s="16">
        <v>10250000</v>
      </c>
      <c r="CU9" s="16">
        <v>9975000</v>
      </c>
      <c r="CV9" s="16">
        <v>11835000</v>
      </c>
      <c r="CW9" s="16">
        <v>10747000</v>
      </c>
      <c r="CX9" s="16">
        <v>9522000</v>
      </c>
      <c r="CY9" s="16">
        <v>9463000</v>
      </c>
      <c r="CZ9" s="13">
        <v>9779000</v>
      </c>
      <c r="DA9" s="16">
        <v>7946000</v>
      </c>
      <c r="DB9" s="16">
        <v>7231000</v>
      </c>
      <c r="DC9" s="16">
        <v>8131000</v>
      </c>
      <c r="DD9" s="16">
        <v>7232000</v>
      </c>
      <c r="DE9" s="22">
        <v>6028000</v>
      </c>
      <c r="DF9" s="16">
        <v>8081000</v>
      </c>
      <c r="DG9" s="16">
        <v>8116000</v>
      </c>
      <c r="DH9" s="16">
        <v>8563000</v>
      </c>
      <c r="DI9" s="16">
        <v>9849000</v>
      </c>
      <c r="DJ9" s="16">
        <v>9200000</v>
      </c>
      <c r="DK9" s="16">
        <v>11288000</v>
      </c>
      <c r="DL9" s="13">
        <v>8944000</v>
      </c>
      <c r="DM9" s="16">
        <v>6476000</v>
      </c>
      <c r="DN9" s="16">
        <v>8489000</v>
      </c>
      <c r="DO9" s="16">
        <v>8008000</v>
      </c>
      <c r="DP9" s="16">
        <v>6586000</v>
      </c>
      <c r="DQ9" s="16">
        <v>6648000</v>
      </c>
      <c r="DR9" s="16">
        <v>6525000</v>
      </c>
      <c r="DS9" s="16">
        <v>7943000</v>
      </c>
      <c r="DT9" s="16">
        <v>11351000</v>
      </c>
      <c r="DU9" s="16">
        <v>11880000</v>
      </c>
      <c r="DV9" s="16">
        <v>9686000</v>
      </c>
      <c r="DW9" s="16">
        <v>10195000</v>
      </c>
      <c r="DX9" s="13">
        <v>8489000</v>
      </c>
      <c r="DY9" s="16">
        <v>7073000</v>
      </c>
      <c r="DZ9" s="16">
        <v>6839000</v>
      </c>
      <c r="EA9" s="16">
        <v>7773000</v>
      </c>
      <c r="EB9" s="16">
        <v>7029000</v>
      </c>
      <c r="EC9" s="16">
        <v>6588000</v>
      </c>
      <c r="ED9" s="16">
        <v>6454000</v>
      </c>
      <c r="EE9" s="16">
        <v>9450000</v>
      </c>
      <c r="EF9" s="16">
        <v>7813000</v>
      </c>
      <c r="EG9" s="16">
        <v>11059000</v>
      </c>
      <c r="EH9" s="16">
        <v>10831000</v>
      </c>
      <c r="EI9" s="16">
        <v>8910000</v>
      </c>
      <c r="EJ9" s="13">
        <v>7076000</v>
      </c>
      <c r="EK9" s="16">
        <v>7409000</v>
      </c>
      <c r="EL9" s="16">
        <v>7269000</v>
      </c>
      <c r="EM9" s="16">
        <v>6721000</v>
      </c>
      <c r="EN9" s="16">
        <v>6958000</v>
      </c>
      <c r="EO9" s="16">
        <v>9207000</v>
      </c>
      <c r="EP9" s="16">
        <v>6423000</v>
      </c>
      <c r="EQ9" s="16">
        <v>7995000</v>
      </c>
      <c r="ER9" s="16">
        <v>10744000</v>
      </c>
      <c r="ES9" s="16">
        <v>9252000</v>
      </c>
      <c r="ET9" s="16">
        <v>10415000</v>
      </c>
      <c r="EU9" s="16">
        <v>10867000</v>
      </c>
      <c r="EV9" s="13">
        <v>9941000</v>
      </c>
      <c r="EW9" s="16">
        <v>9913000</v>
      </c>
      <c r="EX9" s="16">
        <v>8212000</v>
      </c>
      <c r="EY9" s="16">
        <v>8203000</v>
      </c>
      <c r="EZ9" s="16">
        <v>7712000</v>
      </c>
      <c r="FA9" s="16">
        <v>6982000</v>
      </c>
      <c r="FB9" s="16">
        <v>6973000</v>
      </c>
      <c r="FC9" s="357">
        <v>8606270</v>
      </c>
      <c r="FD9" s="357">
        <v>8469320</v>
      </c>
      <c r="FE9" s="357">
        <v>10048810</v>
      </c>
      <c r="FF9" s="359">
        <v>9751000</v>
      </c>
      <c r="FG9" s="16">
        <v>8907000</v>
      </c>
      <c r="FH9" s="13">
        <v>7129000</v>
      </c>
      <c r="FI9" s="16">
        <v>7411000</v>
      </c>
      <c r="FJ9" s="13">
        <v>7617000</v>
      </c>
      <c r="FK9" s="16">
        <v>7082000</v>
      </c>
      <c r="FL9" s="16">
        <v>7043000</v>
      </c>
      <c r="FM9" s="16">
        <v>5912000</v>
      </c>
      <c r="FN9" s="16">
        <v>5937000</v>
      </c>
      <c r="FO9" s="16">
        <v>7371000</v>
      </c>
      <c r="FP9" s="16">
        <v>9073000</v>
      </c>
      <c r="FQ9" s="16">
        <v>9837000</v>
      </c>
      <c r="FR9" s="16">
        <v>10607000</v>
      </c>
      <c r="FS9" s="16">
        <v>6846000</v>
      </c>
      <c r="FT9" s="13">
        <v>5628000</v>
      </c>
      <c r="FU9" s="16">
        <v>5626000</v>
      </c>
      <c r="FV9" s="13">
        <v>6090000</v>
      </c>
      <c r="FW9" s="16">
        <v>6805000</v>
      </c>
      <c r="FX9" s="16">
        <v>6346000</v>
      </c>
      <c r="FY9" s="16">
        <v>5029000</v>
      </c>
      <c r="FZ9" s="16">
        <v>6286000</v>
      </c>
      <c r="GA9" s="16">
        <v>8020000</v>
      </c>
      <c r="GB9" s="197">
        <v>9784000</v>
      </c>
      <c r="GC9" s="197">
        <v>9158000</v>
      </c>
      <c r="GD9" s="16">
        <v>10497000</v>
      </c>
      <c r="GE9" s="16">
        <v>10631000</v>
      </c>
      <c r="GF9" s="13">
        <v>7736000</v>
      </c>
      <c r="GG9" s="415">
        <v>7386000</v>
      </c>
    </row>
    <row r="10" spans="2:189" ht="14.25">
      <c r="B10" s="13">
        <v>8207000</v>
      </c>
      <c r="C10" s="16">
        <v>11166000</v>
      </c>
      <c r="D10" s="16">
        <v>9532000</v>
      </c>
      <c r="E10" s="16">
        <v>13700000</v>
      </c>
      <c r="F10" s="16">
        <v>9773000</v>
      </c>
      <c r="G10" s="16">
        <v>9285000</v>
      </c>
      <c r="H10" s="16">
        <v>8898000</v>
      </c>
      <c r="I10" s="16">
        <v>8628000</v>
      </c>
      <c r="J10" s="16">
        <v>7396000</v>
      </c>
      <c r="K10" s="16">
        <v>8632000</v>
      </c>
      <c r="L10" s="16">
        <v>7945000</v>
      </c>
      <c r="M10" s="16">
        <v>8004000</v>
      </c>
      <c r="N10" s="16">
        <v>7692000</v>
      </c>
      <c r="O10" s="16">
        <v>9348000</v>
      </c>
      <c r="P10" s="16">
        <v>9085000</v>
      </c>
      <c r="Q10" s="16">
        <v>9939000</v>
      </c>
      <c r="R10" s="16">
        <v>13514000</v>
      </c>
      <c r="S10" s="16">
        <v>9162000</v>
      </c>
      <c r="T10" s="16">
        <v>8543000</v>
      </c>
      <c r="U10" s="16">
        <v>8159000</v>
      </c>
      <c r="V10" s="16">
        <v>7771000</v>
      </c>
      <c r="W10" s="16">
        <v>7567000</v>
      </c>
      <c r="X10" s="16">
        <v>7145000</v>
      </c>
      <c r="Y10" s="16">
        <v>7674000</v>
      </c>
      <c r="Z10" s="16">
        <v>8135000</v>
      </c>
      <c r="AA10" s="16">
        <v>10222000</v>
      </c>
      <c r="AB10" s="16">
        <v>9031000</v>
      </c>
      <c r="AC10" s="16">
        <v>10467000</v>
      </c>
      <c r="AD10" s="16">
        <v>11148000</v>
      </c>
      <c r="AE10" s="16">
        <v>7965000</v>
      </c>
      <c r="AF10" s="16">
        <v>7928000</v>
      </c>
      <c r="AG10" s="16">
        <v>8491000</v>
      </c>
      <c r="AH10" s="16">
        <v>6870000</v>
      </c>
      <c r="AI10" s="16">
        <v>7341000</v>
      </c>
      <c r="AJ10" s="16">
        <v>7394000</v>
      </c>
      <c r="AK10" s="16">
        <v>7126000</v>
      </c>
      <c r="AL10" s="16">
        <v>6603000</v>
      </c>
      <c r="AM10" s="16">
        <v>8975000</v>
      </c>
      <c r="AN10" s="16">
        <v>10201000</v>
      </c>
      <c r="AO10" s="16">
        <v>10097000</v>
      </c>
      <c r="AP10" s="16">
        <v>8346000</v>
      </c>
      <c r="AQ10" s="16">
        <v>8617000</v>
      </c>
      <c r="AR10" s="16">
        <v>6832000</v>
      </c>
      <c r="AS10" s="16">
        <v>6411000</v>
      </c>
      <c r="AT10" s="13">
        <v>6294000</v>
      </c>
      <c r="AU10" s="16">
        <v>5726000</v>
      </c>
      <c r="AV10" s="16">
        <v>5675000</v>
      </c>
      <c r="AW10" s="16">
        <v>8007000</v>
      </c>
      <c r="AX10" s="16">
        <v>9222000</v>
      </c>
      <c r="AY10" s="16">
        <v>7197000</v>
      </c>
      <c r="AZ10" s="16">
        <v>6320000</v>
      </c>
      <c r="BA10" s="16">
        <v>9943000</v>
      </c>
      <c r="BB10" s="16">
        <v>10353000</v>
      </c>
      <c r="BC10" s="16">
        <v>6909000</v>
      </c>
      <c r="BD10" s="13">
        <v>7594000</v>
      </c>
      <c r="BE10" s="16">
        <v>7102000</v>
      </c>
      <c r="BF10" s="16">
        <v>6090000</v>
      </c>
      <c r="BG10" s="16">
        <v>6567000</v>
      </c>
      <c r="BH10" s="16">
        <v>6686158</v>
      </c>
      <c r="BI10" s="16">
        <v>5699000</v>
      </c>
      <c r="BJ10" s="16">
        <v>7738000</v>
      </c>
      <c r="BK10" s="16">
        <v>10324000</v>
      </c>
      <c r="BL10" s="16">
        <v>8505000</v>
      </c>
      <c r="BM10" s="16">
        <v>12068000</v>
      </c>
      <c r="BN10" s="16">
        <v>5321000</v>
      </c>
      <c r="BO10" s="16">
        <v>9422000</v>
      </c>
      <c r="BP10" s="13">
        <v>7328000</v>
      </c>
      <c r="BQ10" s="16">
        <v>7602000</v>
      </c>
      <c r="BR10" s="16">
        <v>7916000</v>
      </c>
      <c r="BS10" s="16">
        <v>6744000</v>
      </c>
      <c r="BT10" s="16">
        <v>8528000</v>
      </c>
      <c r="BU10" s="16">
        <v>7960000</v>
      </c>
      <c r="BV10" s="16">
        <v>7383000</v>
      </c>
      <c r="BW10" s="16">
        <v>9099000</v>
      </c>
      <c r="BX10" s="16">
        <v>11364000</v>
      </c>
      <c r="BY10" s="16">
        <v>9993000</v>
      </c>
      <c r="BZ10" s="16">
        <v>10747000</v>
      </c>
      <c r="CA10" s="16">
        <v>11188000</v>
      </c>
      <c r="CB10" s="13">
        <v>9524000</v>
      </c>
      <c r="CC10" s="16">
        <v>7245000</v>
      </c>
      <c r="CD10" s="16">
        <v>7125000</v>
      </c>
      <c r="CE10" s="16">
        <v>7883000</v>
      </c>
      <c r="CF10" s="16">
        <v>8543000</v>
      </c>
      <c r="CG10" s="16">
        <v>7367000</v>
      </c>
      <c r="CH10" s="16">
        <v>9988000</v>
      </c>
      <c r="CI10" s="16">
        <v>13188000</v>
      </c>
      <c r="CJ10" s="16">
        <v>11122000</v>
      </c>
      <c r="CK10" s="16">
        <v>10962000</v>
      </c>
      <c r="CL10" s="16">
        <v>11823000</v>
      </c>
      <c r="CM10" s="16">
        <v>9890000</v>
      </c>
      <c r="CN10" s="13">
        <v>8377000</v>
      </c>
      <c r="CO10" s="16">
        <v>7081000</v>
      </c>
      <c r="CP10" s="16">
        <v>6800000</v>
      </c>
      <c r="CQ10" s="16">
        <v>6551000</v>
      </c>
      <c r="CR10" s="16">
        <v>9940000</v>
      </c>
      <c r="CS10" s="16">
        <v>7207000</v>
      </c>
      <c r="CT10" s="16">
        <v>8577000</v>
      </c>
      <c r="CU10" s="16">
        <v>10376000</v>
      </c>
      <c r="CV10" s="16">
        <v>10455000</v>
      </c>
      <c r="CW10" s="16">
        <v>11778000</v>
      </c>
      <c r="CX10" s="16">
        <v>10873000</v>
      </c>
      <c r="CY10" s="16">
        <v>10437000</v>
      </c>
      <c r="CZ10" s="13">
        <v>8734000</v>
      </c>
      <c r="DA10" s="16">
        <v>7789000</v>
      </c>
      <c r="DB10" s="16">
        <v>8095000</v>
      </c>
      <c r="DC10" s="16">
        <v>6679000</v>
      </c>
      <c r="DD10" s="16">
        <v>6888000</v>
      </c>
      <c r="DE10" s="22">
        <v>6754000</v>
      </c>
      <c r="DF10" s="16">
        <v>7161000</v>
      </c>
      <c r="DG10" s="16">
        <v>8085000</v>
      </c>
      <c r="DH10" s="16">
        <v>7937000</v>
      </c>
      <c r="DI10" s="16">
        <v>10257000</v>
      </c>
      <c r="DJ10" s="16">
        <v>10290000</v>
      </c>
      <c r="DK10" s="16">
        <v>10532000</v>
      </c>
      <c r="DL10" s="13">
        <v>9310000</v>
      </c>
      <c r="DM10" s="16">
        <v>6895000</v>
      </c>
      <c r="DN10" s="16">
        <v>6516000</v>
      </c>
      <c r="DO10" s="16">
        <v>9122000</v>
      </c>
      <c r="DP10" s="16">
        <v>7254000</v>
      </c>
      <c r="DQ10" s="16">
        <v>6255000</v>
      </c>
      <c r="DR10" s="16">
        <v>7708000</v>
      </c>
      <c r="DS10" s="16">
        <v>7943000</v>
      </c>
      <c r="DT10" s="16">
        <v>10540000</v>
      </c>
      <c r="DU10" s="16">
        <v>10400000</v>
      </c>
      <c r="DV10" s="16">
        <v>11196000</v>
      </c>
      <c r="DW10" s="16">
        <v>8450000</v>
      </c>
      <c r="DX10" s="13">
        <v>8640000</v>
      </c>
      <c r="DY10" s="16">
        <v>7794000</v>
      </c>
      <c r="DZ10" s="16">
        <v>7664000</v>
      </c>
      <c r="EA10" s="16">
        <v>6795000</v>
      </c>
      <c r="EB10" s="16">
        <v>7018000</v>
      </c>
      <c r="EC10" s="16">
        <v>6352000</v>
      </c>
      <c r="ED10" s="16">
        <v>7545000</v>
      </c>
      <c r="EE10" s="16">
        <v>8209000</v>
      </c>
      <c r="EF10" s="16">
        <v>8274000</v>
      </c>
      <c r="EG10" s="16">
        <v>10613000</v>
      </c>
      <c r="EH10" s="16">
        <v>10643000</v>
      </c>
      <c r="EI10" s="16">
        <v>8247000</v>
      </c>
      <c r="EJ10" s="13">
        <v>9112000</v>
      </c>
      <c r="EK10" s="16">
        <v>7684000</v>
      </c>
      <c r="EL10" s="16">
        <v>6552000</v>
      </c>
      <c r="EM10" s="16">
        <v>5755000</v>
      </c>
      <c r="EN10" s="16">
        <v>5940000</v>
      </c>
      <c r="EO10" s="16">
        <v>7218000</v>
      </c>
      <c r="EP10" s="16">
        <v>6135000</v>
      </c>
      <c r="EQ10" s="16">
        <v>7906000</v>
      </c>
      <c r="ER10" s="16">
        <v>10393000</v>
      </c>
      <c r="ES10" s="16">
        <v>12225000</v>
      </c>
      <c r="ET10" s="16">
        <v>10055000</v>
      </c>
      <c r="EU10" s="16">
        <v>10353000</v>
      </c>
      <c r="EV10" s="13">
        <v>10977000</v>
      </c>
      <c r="EW10" s="16">
        <v>9083000</v>
      </c>
      <c r="EX10" s="16">
        <v>7883000</v>
      </c>
      <c r="EY10" s="16">
        <v>6469000</v>
      </c>
      <c r="EZ10" s="16">
        <v>7007000</v>
      </c>
      <c r="FA10" s="16">
        <v>6998000</v>
      </c>
      <c r="FB10" s="16">
        <v>7471000</v>
      </c>
      <c r="FC10" s="357">
        <v>9798150</v>
      </c>
      <c r="FD10" s="357">
        <v>9422160</v>
      </c>
      <c r="FE10" s="357">
        <v>7964680</v>
      </c>
      <c r="FF10" s="359">
        <v>10151000</v>
      </c>
      <c r="FG10" s="16">
        <v>7307000</v>
      </c>
      <c r="FH10" s="13">
        <v>7453000</v>
      </c>
      <c r="FI10" s="16">
        <v>7410000</v>
      </c>
      <c r="FJ10" s="16">
        <v>7370000</v>
      </c>
      <c r="FK10" s="16">
        <v>6980000</v>
      </c>
      <c r="FL10" s="16">
        <v>5713000</v>
      </c>
      <c r="FM10" s="16">
        <v>7169000</v>
      </c>
      <c r="FN10" s="16">
        <v>6101000</v>
      </c>
      <c r="FO10" s="16">
        <v>8679000</v>
      </c>
      <c r="FP10" s="16">
        <v>10048000</v>
      </c>
      <c r="FQ10" s="16">
        <v>9517000</v>
      </c>
      <c r="FR10" s="16">
        <v>11127000</v>
      </c>
      <c r="FS10" s="16">
        <v>8376000</v>
      </c>
      <c r="FT10" s="13">
        <v>6786000</v>
      </c>
      <c r="FU10" s="16">
        <v>6088000</v>
      </c>
      <c r="FV10" s="16">
        <v>6053000</v>
      </c>
      <c r="FW10" s="16">
        <v>6850000</v>
      </c>
      <c r="FX10" s="16">
        <v>5369000</v>
      </c>
      <c r="FY10" s="16">
        <v>4436000</v>
      </c>
      <c r="FZ10" s="16">
        <v>6387000</v>
      </c>
      <c r="GA10" s="16">
        <v>9014000</v>
      </c>
      <c r="GB10" s="197">
        <v>9278000</v>
      </c>
      <c r="GC10" s="197">
        <v>8576000</v>
      </c>
      <c r="GD10" s="16">
        <v>9823000</v>
      </c>
      <c r="GE10" s="16">
        <v>8935000</v>
      </c>
      <c r="GF10" s="13">
        <v>7322000</v>
      </c>
      <c r="GG10" s="415">
        <v>8024000</v>
      </c>
    </row>
    <row r="11" spans="2:189" ht="14.25">
      <c r="B11" s="13">
        <v>8267000</v>
      </c>
      <c r="C11" s="16">
        <v>8519000</v>
      </c>
      <c r="D11" s="16">
        <v>8867000</v>
      </c>
      <c r="E11" s="16">
        <v>15467000</v>
      </c>
      <c r="F11" s="16">
        <v>9994000</v>
      </c>
      <c r="G11" s="16">
        <v>9469000</v>
      </c>
      <c r="H11" s="16">
        <v>8866000</v>
      </c>
      <c r="I11" s="16">
        <v>7965000</v>
      </c>
      <c r="J11" s="16">
        <v>7096000</v>
      </c>
      <c r="K11" s="16">
        <v>9281000</v>
      </c>
      <c r="L11" s="16">
        <v>8000000</v>
      </c>
      <c r="M11" s="16">
        <v>8235000</v>
      </c>
      <c r="N11" s="16">
        <v>7871000</v>
      </c>
      <c r="O11" s="16">
        <v>9561000</v>
      </c>
      <c r="P11" s="16">
        <v>8858000</v>
      </c>
      <c r="Q11" s="16">
        <v>8136000</v>
      </c>
      <c r="R11" s="16">
        <v>13722000</v>
      </c>
      <c r="S11" s="16">
        <v>8661000</v>
      </c>
      <c r="T11" s="16">
        <v>7440000</v>
      </c>
      <c r="U11" s="16">
        <v>7974000</v>
      </c>
      <c r="V11" s="16">
        <v>7152000</v>
      </c>
      <c r="W11" s="16">
        <v>7595000</v>
      </c>
      <c r="X11" s="16">
        <v>7331000</v>
      </c>
      <c r="Y11" s="16">
        <v>7889000</v>
      </c>
      <c r="Z11" s="16">
        <v>8412000</v>
      </c>
      <c r="AA11" s="16">
        <v>8236000</v>
      </c>
      <c r="AB11" s="16">
        <v>9863000</v>
      </c>
      <c r="AC11" s="16">
        <v>10526000</v>
      </c>
      <c r="AD11" s="16">
        <v>11235000</v>
      </c>
      <c r="AE11" s="16">
        <v>9434000</v>
      </c>
      <c r="AF11" s="16">
        <v>7958000</v>
      </c>
      <c r="AG11" s="16">
        <v>6680000</v>
      </c>
      <c r="AH11" s="16">
        <v>7181000</v>
      </c>
      <c r="AI11" s="16">
        <v>6691000</v>
      </c>
      <c r="AJ11" s="16">
        <v>7846000</v>
      </c>
      <c r="AK11" s="16">
        <v>6427000</v>
      </c>
      <c r="AL11" s="16">
        <v>7763000</v>
      </c>
      <c r="AM11" s="16">
        <v>7726000</v>
      </c>
      <c r="AN11" s="16">
        <v>8476000</v>
      </c>
      <c r="AO11" s="16">
        <v>11074000</v>
      </c>
      <c r="AP11" s="16">
        <v>8373000</v>
      </c>
      <c r="AQ11" s="16">
        <v>6799000</v>
      </c>
      <c r="AR11" s="16">
        <v>6771000</v>
      </c>
      <c r="AS11" s="16">
        <v>7462000</v>
      </c>
      <c r="AT11" s="13">
        <v>6294000</v>
      </c>
      <c r="AU11" s="16">
        <v>7793000</v>
      </c>
      <c r="AV11" s="16">
        <v>5698000</v>
      </c>
      <c r="AW11" s="16">
        <v>8492000</v>
      </c>
      <c r="AX11" s="16">
        <v>5090000</v>
      </c>
      <c r="AY11" s="16">
        <v>5259000</v>
      </c>
      <c r="AZ11" s="16">
        <v>7965000</v>
      </c>
      <c r="BA11" s="16">
        <v>6530000</v>
      </c>
      <c r="BB11" s="16">
        <v>7561000</v>
      </c>
      <c r="BC11" s="16">
        <v>7202000</v>
      </c>
      <c r="BD11" s="13">
        <v>7049000</v>
      </c>
      <c r="BE11" s="16">
        <v>7331000</v>
      </c>
      <c r="BF11" s="16">
        <v>6398000</v>
      </c>
      <c r="BG11" s="16">
        <v>8005000</v>
      </c>
      <c r="BH11" s="16">
        <v>7558024</v>
      </c>
      <c r="BI11" s="16">
        <v>6764000</v>
      </c>
      <c r="BJ11" s="16">
        <v>6123000</v>
      </c>
      <c r="BK11" s="16">
        <v>8047000</v>
      </c>
      <c r="BL11" s="16">
        <v>7694000</v>
      </c>
      <c r="BM11" s="16">
        <v>14718000</v>
      </c>
      <c r="BN11" s="16">
        <v>10250000</v>
      </c>
      <c r="BO11" s="16">
        <v>8672000</v>
      </c>
      <c r="BP11" s="13">
        <v>8086000</v>
      </c>
      <c r="BQ11" s="16">
        <v>7534000</v>
      </c>
      <c r="BR11" s="16">
        <v>6868000</v>
      </c>
      <c r="BS11" s="16">
        <v>7873000</v>
      </c>
      <c r="BT11" s="16">
        <v>7713000</v>
      </c>
      <c r="BU11" s="16">
        <v>8453000</v>
      </c>
      <c r="BV11" s="16">
        <v>6950000</v>
      </c>
      <c r="BW11" s="16">
        <v>9295000</v>
      </c>
      <c r="BX11" s="16">
        <v>10366000</v>
      </c>
      <c r="BY11" s="16">
        <v>11443000</v>
      </c>
      <c r="BZ11" s="16">
        <v>10353000</v>
      </c>
      <c r="CA11" s="16">
        <v>10594000</v>
      </c>
      <c r="CB11" s="13">
        <v>10024000</v>
      </c>
      <c r="CC11" s="16">
        <v>6858000</v>
      </c>
      <c r="CD11" s="16">
        <v>6882000</v>
      </c>
      <c r="CE11" s="16">
        <v>5989000</v>
      </c>
      <c r="CF11" s="16">
        <v>7636000</v>
      </c>
      <c r="CG11" s="16">
        <v>8011000</v>
      </c>
      <c r="CH11" s="16">
        <v>8082000</v>
      </c>
      <c r="CI11" s="16">
        <v>12803000</v>
      </c>
      <c r="CJ11" s="16">
        <v>10751000</v>
      </c>
      <c r="CK11" s="16">
        <v>12126000</v>
      </c>
      <c r="CL11" s="16">
        <v>10979000</v>
      </c>
      <c r="CM11" s="16">
        <v>9644000</v>
      </c>
      <c r="CN11" s="13">
        <v>8073000</v>
      </c>
      <c r="CO11" s="16">
        <v>7657000</v>
      </c>
      <c r="CP11" s="16">
        <v>7345000</v>
      </c>
      <c r="CQ11" s="16">
        <v>7379000</v>
      </c>
      <c r="CR11" s="16">
        <v>8090000</v>
      </c>
      <c r="CS11" s="16">
        <v>7114000</v>
      </c>
      <c r="CT11" s="16">
        <v>8647000</v>
      </c>
      <c r="CU11" s="16">
        <v>9577000</v>
      </c>
      <c r="CV11" s="16">
        <v>11922000</v>
      </c>
      <c r="CW11" s="16">
        <v>11983000</v>
      </c>
      <c r="CX11" s="16">
        <v>11180000</v>
      </c>
      <c r="CY11" s="16">
        <v>10260000</v>
      </c>
      <c r="CZ11" s="13">
        <v>10131000</v>
      </c>
      <c r="DA11" s="16">
        <v>6608000</v>
      </c>
      <c r="DB11" s="16">
        <v>7591000</v>
      </c>
      <c r="DC11" s="16">
        <v>7686000</v>
      </c>
      <c r="DD11" s="16">
        <v>7103000</v>
      </c>
      <c r="DE11" s="22">
        <v>6884000</v>
      </c>
      <c r="DF11" s="16">
        <v>7305000</v>
      </c>
      <c r="DG11" s="16">
        <v>9415000</v>
      </c>
      <c r="DH11" s="16">
        <v>8320000</v>
      </c>
      <c r="DI11" s="16">
        <v>8781000</v>
      </c>
      <c r="DJ11" s="16">
        <v>9817000</v>
      </c>
      <c r="DK11" s="16">
        <v>9618000</v>
      </c>
      <c r="DL11" s="13">
        <v>8958000</v>
      </c>
      <c r="DM11" s="16">
        <v>7314000</v>
      </c>
      <c r="DN11" s="16">
        <v>6283000</v>
      </c>
      <c r="DO11" s="16">
        <v>8228000</v>
      </c>
      <c r="DP11" s="16">
        <v>6600000</v>
      </c>
      <c r="DQ11" s="16">
        <v>6830000</v>
      </c>
      <c r="DR11" s="16">
        <v>8764000</v>
      </c>
      <c r="DS11" s="16">
        <v>7943000</v>
      </c>
      <c r="DT11" s="16">
        <v>10648000</v>
      </c>
      <c r="DU11" s="16">
        <v>9243000</v>
      </c>
      <c r="DV11" s="16">
        <v>10602000</v>
      </c>
      <c r="DW11" s="16">
        <v>10708000</v>
      </c>
      <c r="DX11" s="13">
        <v>8471000</v>
      </c>
      <c r="DY11" s="16">
        <v>6942000</v>
      </c>
      <c r="DZ11" s="16">
        <v>6649000</v>
      </c>
      <c r="EA11" s="16">
        <v>6794000</v>
      </c>
      <c r="EB11" s="16">
        <v>7488000</v>
      </c>
      <c r="EC11" s="16">
        <v>6434000</v>
      </c>
      <c r="ED11" s="16">
        <v>8260000</v>
      </c>
      <c r="EE11" s="16">
        <v>9048000</v>
      </c>
      <c r="EF11" s="16">
        <v>8582000</v>
      </c>
      <c r="EG11" s="16">
        <v>8691000</v>
      </c>
      <c r="EH11" s="16">
        <v>9814000</v>
      </c>
      <c r="EI11" s="16">
        <v>8670000</v>
      </c>
      <c r="EJ11" s="13">
        <v>8474000</v>
      </c>
      <c r="EK11" s="16">
        <v>6569000</v>
      </c>
      <c r="EL11" s="16">
        <v>6728000</v>
      </c>
      <c r="EM11" s="16">
        <v>7369000</v>
      </c>
      <c r="EN11" s="16">
        <v>5787000</v>
      </c>
      <c r="EO11" s="16">
        <v>7351000</v>
      </c>
      <c r="EP11" s="16">
        <v>6612000</v>
      </c>
      <c r="EQ11" s="16">
        <v>6995000</v>
      </c>
      <c r="ER11" s="16">
        <v>11281000</v>
      </c>
      <c r="ES11" s="16">
        <v>11910000</v>
      </c>
      <c r="ET11" s="16">
        <v>10572000</v>
      </c>
      <c r="EU11" s="16">
        <v>10146000</v>
      </c>
      <c r="EV11" s="13">
        <v>9558000</v>
      </c>
      <c r="EW11" s="16">
        <v>9068000</v>
      </c>
      <c r="EX11" s="16">
        <v>7460000</v>
      </c>
      <c r="EY11" s="16">
        <v>7281000</v>
      </c>
      <c r="EZ11" s="16">
        <v>7721000</v>
      </c>
      <c r="FA11" s="16">
        <v>7645000</v>
      </c>
      <c r="FB11" s="16">
        <v>7533000</v>
      </c>
      <c r="FC11" s="357">
        <v>9793170</v>
      </c>
      <c r="FD11" s="357">
        <v>9520930</v>
      </c>
      <c r="FE11" s="357">
        <v>9082690</v>
      </c>
      <c r="FF11" s="359">
        <v>10089000</v>
      </c>
      <c r="FG11" s="16">
        <v>7301000</v>
      </c>
      <c r="FH11" s="13">
        <v>7318000</v>
      </c>
      <c r="FI11" s="16">
        <v>7504000</v>
      </c>
      <c r="FJ11" s="16">
        <v>7590000</v>
      </c>
      <c r="FK11" s="16">
        <v>7861000</v>
      </c>
      <c r="FL11" s="16">
        <v>6197000</v>
      </c>
      <c r="FM11" s="16">
        <v>6972000</v>
      </c>
      <c r="FN11" s="16">
        <v>6781000</v>
      </c>
      <c r="FO11" s="16">
        <v>8132000</v>
      </c>
      <c r="FP11" s="16">
        <v>9412000</v>
      </c>
      <c r="FQ11" s="16">
        <v>9535000</v>
      </c>
      <c r="FR11" s="16">
        <v>9387000</v>
      </c>
      <c r="FS11" s="16">
        <v>8302000</v>
      </c>
      <c r="FT11" s="13">
        <v>5970000</v>
      </c>
      <c r="FU11" s="16">
        <v>6175000</v>
      </c>
      <c r="FV11" s="16">
        <v>6231000</v>
      </c>
      <c r="FW11" s="16">
        <v>6799000</v>
      </c>
      <c r="FX11" s="16">
        <v>6091000</v>
      </c>
      <c r="FY11" s="16">
        <v>4853000</v>
      </c>
      <c r="FZ11" s="16">
        <v>5546000</v>
      </c>
      <c r="GA11" s="16">
        <v>7529000</v>
      </c>
      <c r="GB11" s="197">
        <v>10914000</v>
      </c>
      <c r="GC11" s="197">
        <v>8099000</v>
      </c>
      <c r="GD11" s="16">
        <v>9685000</v>
      </c>
      <c r="GE11" s="16">
        <v>8307000</v>
      </c>
      <c r="GF11" s="13">
        <v>7903000</v>
      </c>
      <c r="GG11" s="415">
        <v>7447000</v>
      </c>
    </row>
    <row r="12" spans="2:189" ht="14.25">
      <c r="B12" s="13">
        <v>8832000</v>
      </c>
      <c r="C12" s="16">
        <v>7657000</v>
      </c>
      <c r="D12" s="16">
        <v>10445000</v>
      </c>
      <c r="E12" s="16">
        <v>15202000</v>
      </c>
      <c r="F12" s="16">
        <v>8218000</v>
      </c>
      <c r="G12" s="16">
        <v>9790000</v>
      </c>
      <c r="H12" s="16">
        <v>8447000</v>
      </c>
      <c r="I12" s="16">
        <v>6958000</v>
      </c>
      <c r="J12" s="16">
        <v>7398000</v>
      </c>
      <c r="K12" s="16">
        <v>9506000</v>
      </c>
      <c r="L12" s="16">
        <v>7249000</v>
      </c>
      <c r="M12" s="16">
        <v>7262000</v>
      </c>
      <c r="N12" s="16">
        <v>8250000</v>
      </c>
      <c r="O12" s="16">
        <v>11025000</v>
      </c>
      <c r="P12" s="16">
        <v>8228000</v>
      </c>
      <c r="Q12" s="16">
        <v>8607000</v>
      </c>
      <c r="R12" s="16">
        <v>12087000</v>
      </c>
      <c r="S12" s="16">
        <v>9826000</v>
      </c>
      <c r="T12" s="16">
        <v>8031000</v>
      </c>
      <c r="U12" s="16">
        <v>7897000</v>
      </c>
      <c r="V12" s="16">
        <v>7632000</v>
      </c>
      <c r="W12" s="16">
        <v>7979000</v>
      </c>
      <c r="X12" s="16">
        <v>7600000</v>
      </c>
      <c r="Y12" s="16">
        <v>7787000</v>
      </c>
      <c r="Z12" s="16">
        <v>7980000</v>
      </c>
      <c r="AA12" s="16">
        <v>9294000</v>
      </c>
      <c r="AB12" s="16">
        <v>10638000</v>
      </c>
      <c r="AC12" s="16">
        <v>10537000</v>
      </c>
      <c r="AD12" s="16">
        <v>11694000</v>
      </c>
      <c r="AE12" s="16">
        <v>8462000</v>
      </c>
      <c r="AF12" s="16">
        <v>8177000</v>
      </c>
      <c r="AG12" s="16">
        <v>7108000</v>
      </c>
      <c r="AH12" s="16">
        <v>6980000</v>
      </c>
      <c r="AI12" s="16">
        <v>7043000</v>
      </c>
      <c r="AJ12" s="16">
        <v>7751000</v>
      </c>
      <c r="AK12" s="16">
        <v>7265000</v>
      </c>
      <c r="AL12" s="16">
        <v>7735000</v>
      </c>
      <c r="AM12" s="16">
        <v>9119000</v>
      </c>
      <c r="AN12" s="16">
        <v>9109000</v>
      </c>
      <c r="AO12" s="16">
        <v>12001000</v>
      </c>
      <c r="AP12" s="16">
        <v>9662000</v>
      </c>
      <c r="AQ12" s="16">
        <v>6424000</v>
      </c>
      <c r="AR12" s="16">
        <v>6101000</v>
      </c>
      <c r="AS12" s="16">
        <v>5883000</v>
      </c>
      <c r="AT12" s="13">
        <v>6294000</v>
      </c>
      <c r="AU12" s="16">
        <v>5519000</v>
      </c>
      <c r="AV12" s="16">
        <v>5598000</v>
      </c>
      <c r="AW12" s="16">
        <v>5060000</v>
      </c>
      <c r="AX12" s="16">
        <v>6680000</v>
      </c>
      <c r="AY12" s="16">
        <v>7532000</v>
      </c>
      <c r="AZ12" s="16">
        <v>10009000</v>
      </c>
      <c r="BA12" s="16">
        <v>9312000</v>
      </c>
      <c r="BB12" s="16">
        <v>7077000</v>
      </c>
      <c r="BC12" s="16">
        <v>7782000</v>
      </c>
      <c r="BD12" s="13">
        <v>7501000</v>
      </c>
      <c r="BE12" s="16">
        <v>6606000</v>
      </c>
      <c r="BF12" s="16">
        <v>6591000</v>
      </c>
      <c r="BG12" s="16">
        <v>5562000</v>
      </c>
      <c r="BH12" s="16">
        <v>7027204</v>
      </c>
      <c r="BI12" s="16">
        <v>7551000</v>
      </c>
      <c r="BJ12" s="16">
        <v>6625000</v>
      </c>
      <c r="BK12" s="16">
        <v>9800000</v>
      </c>
      <c r="BL12" s="16">
        <v>9026000</v>
      </c>
      <c r="BM12" s="16">
        <v>10585000</v>
      </c>
      <c r="BN12" s="16">
        <v>9413000</v>
      </c>
      <c r="BO12" s="16">
        <v>8284000</v>
      </c>
      <c r="BP12" s="13">
        <v>7837000</v>
      </c>
      <c r="BQ12" s="16">
        <v>7557000</v>
      </c>
      <c r="BR12" s="16">
        <v>8150000</v>
      </c>
      <c r="BS12" s="16">
        <v>8375000</v>
      </c>
      <c r="BT12" s="16">
        <v>9070000</v>
      </c>
      <c r="BU12" s="16">
        <v>7759000</v>
      </c>
      <c r="BV12" s="16">
        <v>7214000</v>
      </c>
      <c r="BW12" s="16">
        <v>9386000</v>
      </c>
      <c r="BX12" s="16">
        <v>10801000</v>
      </c>
      <c r="BY12" s="16">
        <v>11836000</v>
      </c>
      <c r="BZ12" s="16">
        <v>10546000</v>
      </c>
      <c r="CA12" s="16">
        <v>10366000</v>
      </c>
      <c r="CB12" s="13">
        <v>7868000</v>
      </c>
      <c r="CC12" s="16">
        <v>6600000</v>
      </c>
      <c r="CD12" s="16">
        <v>7093000</v>
      </c>
      <c r="CE12" s="16">
        <v>7476000</v>
      </c>
      <c r="CF12" s="16">
        <v>7045000</v>
      </c>
      <c r="CG12" s="16">
        <v>7770000</v>
      </c>
      <c r="CH12" s="16">
        <v>7704000</v>
      </c>
      <c r="CI12" s="16">
        <v>11378000</v>
      </c>
      <c r="CJ12" s="16">
        <v>12333000</v>
      </c>
      <c r="CK12" s="16">
        <v>13260000</v>
      </c>
      <c r="CL12" s="16">
        <v>11129000</v>
      </c>
      <c r="CM12" s="16">
        <v>11890000</v>
      </c>
      <c r="CN12" s="13">
        <v>7558000</v>
      </c>
      <c r="CO12" s="16">
        <v>8327000</v>
      </c>
      <c r="CP12" s="16">
        <v>6458000</v>
      </c>
      <c r="CQ12" s="16">
        <v>7167000</v>
      </c>
      <c r="CR12" s="16">
        <v>8175000</v>
      </c>
      <c r="CS12" s="16">
        <v>6977000</v>
      </c>
      <c r="CT12" s="16">
        <v>8948000</v>
      </c>
      <c r="CU12" s="16">
        <v>9468000</v>
      </c>
      <c r="CV12" s="16">
        <v>9671000</v>
      </c>
      <c r="CW12" s="16">
        <v>12592000</v>
      </c>
      <c r="CX12" s="16">
        <v>10732000</v>
      </c>
      <c r="CY12" s="16">
        <v>10701000</v>
      </c>
      <c r="CZ12" s="13">
        <v>8959000</v>
      </c>
      <c r="DA12" s="16">
        <v>6967000</v>
      </c>
      <c r="DB12" s="16">
        <v>7413000</v>
      </c>
      <c r="DC12" s="16">
        <v>7474000</v>
      </c>
      <c r="DD12" s="16">
        <v>7359000</v>
      </c>
      <c r="DE12" s="22">
        <v>7233000</v>
      </c>
      <c r="DF12" s="16">
        <v>7961000</v>
      </c>
      <c r="DG12" s="16">
        <v>10059000</v>
      </c>
      <c r="DH12" s="16">
        <v>9897000</v>
      </c>
      <c r="DI12" s="16">
        <v>10935000</v>
      </c>
      <c r="DJ12" s="16">
        <v>9695000</v>
      </c>
      <c r="DK12" s="16">
        <v>8088000</v>
      </c>
      <c r="DL12" s="13">
        <v>9585000</v>
      </c>
      <c r="DM12" s="16">
        <v>7072000</v>
      </c>
      <c r="DN12" s="16">
        <v>7584000</v>
      </c>
      <c r="DO12" s="16">
        <v>7749000</v>
      </c>
      <c r="DP12" s="16">
        <v>6566000</v>
      </c>
      <c r="DQ12" s="16">
        <v>6560000</v>
      </c>
      <c r="DR12" s="16">
        <v>6790000</v>
      </c>
      <c r="DS12" s="16">
        <v>7943000</v>
      </c>
      <c r="DT12" s="16">
        <v>11069000</v>
      </c>
      <c r="DU12" s="16">
        <v>10080000</v>
      </c>
      <c r="DV12" s="16">
        <v>11236000</v>
      </c>
      <c r="DW12" s="16">
        <v>8766000</v>
      </c>
      <c r="DX12" s="13">
        <v>9009000</v>
      </c>
      <c r="DY12" s="16">
        <v>6441000</v>
      </c>
      <c r="DZ12" s="16">
        <v>7773000</v>
      </c>
      <c r="EA12" s="16">
        <v>7555000</v>
      </c>
      <c r="EB12" s="16">
        <v>7666000</v>
      </c>
      <c r="EC12" s="16">
        <v>7609000</v>
      </c>
      <c r="ED12" s="16">
        <v>8388000</v>
      </c>
      <c r="EE12" s="16">
        <v>7717000</v>
      </c>
      <c r="EF12" s="16">
        <v>8191000</v>
      </c>
      <c r="EG12" s="16">
        <v>9460000</v>
      </c>
      <c r="EH12" s="16">
        <v>9753000</v>
      </c>
      <c r="EI12" s="16">
        <v>8668000</v>
      </c>
      <c r="EJ12" s="13">
        <v>7026000</v>
      </c>
      <c r="EK12" s="16">
        <v>6572000</v>
      </c>
      <c r="EL12" s="16">
        <v>6373000</v>
      </c>
      <c r="EM12" s="16">
        <v>7069000</v>
      </c>
      <c r="EN12" s="16">
        <v>7355000</v>
      </c>
      <c r="EO12" s="16">
        <v>6067000</v>
      </c>
      <c r="EP12" s="16">
        <v>5879000</v>
      </c>
      <c r="EQ12" s="16">
        <v>8293000</v>
      </c>
      <c r="ER12" s="16">
        <v>11637000</v>
      </c>
      <c r="ES12" s="16">
        <v>11953000</v>
      </c>
      <c r="ET12" s="16">
        <v>10722000</v>
      </c>
      <c r="EU12" s="16">
        <v>10502000</v>
      </c>
      <c r="EV12" s="13">
        <v>9565000</v>
      </c>
      <c r="EW12" s="16">
        <v>8496000</v>
      </c>
      <c r="EX12" s="16">
        <v>7287000</v>
      </c>
      <c r="EY12" s="16">
        <v>8354000</v>
      </c>
      <c r="EZ12" s="16">
        <v>7469000</v>
      </c>
      <c r="FA12" s="16">
        <v>7219000</v>
      </c>
      <c r="FB12" s="16">
        <v>7247000</v>
      </c>
      <c r="FC12" s="357">
        <v>10023910</v>
      </c>
      <c r="FD12" s="357">
        <v>11458150</v>
      </c>
      <c r="FE12" s="357">
        <v>11620830</v>
      </c>
      <c r="FF12" s="359">
        <v>8623000</v>
      </c>
      <c r="FG12" s="16">
        <v>7384000</v>
      </c>
      <c r="FH12" s="13">
        <v>7265000</v>
      </c>
      <c r="FI12" s="16">
        <v>7875000</v>
      </c>
      <c r="FJ12" s="16">
        <v>7194000</v>
      </c>
      <c r="FK12" s="16">
        <v>7586000</v>
      </c>
      <c r="FL12" s="16">
        <v>6401000</v>
      </c>
      <c r="FM12" s="16">
        <v>6273000</v>
      </c>
      <c r="FN12" s="16">
        <v>6801000</v>
      </c>
      <c r="FO12" s="16">
        <v>8396000</v>
      </c>
      <c r="FP12" s="16">
        <v>8413000</v>
      </c>
      <c r="FQ12" s="16">
        <v>8924000</v>
      </c>
      <c r="FR12" s="16">
        <v>9985000</v>
      </c>
      <c r="FS12" s="16">
        <v>8042000</v>
      </c>
      <c r="FT12" s="13">
        <v>7492000</v>
      </c>
      <c r="FU12" s="16">
        <v>6074000</v>
      </c>
      <c r="FV12" s="16">
        <v>6452000</v>
      </c>
      <c r="FW12" s="16">
        <v>6366000</v>
      </c>
      <c r="FX12" s="16">
        <v>5561000</v>
      </c>
      <c r="FY12" s="16">
        <v>4640000</v>
      </c>
      <c r="FZ12" s="16">
        <v>7141000</v>
      </c>
      <c r="GA12" s="16">
        <v>8692000</v>
      </c>
      <c r="GB12" s="197">
        <v>8122000</v>
      </c>
      <c r="GC12" s="197">
        <v>7596000</v>
      </c>
      <c r="GD12" s="16">
        <v>7837000</v>
      </c>
      <c r="GE12" s="16">
        <v>7937000</v>
      </c>
      <c r="GF12" s="13">
        <v>8208000</v>
      </c>
      <c r="GG12" s="415">
        <v>7187000</v>
      </c>
    </row>
    <row r="13" spans="2:189" ht="14.25">
      <c r="B13" s="13">
        <v>8878000</v>
      </c>
      <c r="C13" s="16">
        <v>8918000</v>
      </c>
      <c r="D13" s="16">
        <v>9751000</v>
      </c>
      <c r="E13" s="16">
        <v>15874000</v>
      </c>
      <c r="F13" s="16">
        <v>9438000</v>
      </c>
      <c r="G13" s="16">
        <v>9012000</v>
      </c>
      <c r="H13" s="16">
        <v>8359000</v>
      </c>
      <c r="I13" s="16">
        <v>8905000</v>
      </c>
      <c r="J13" s="16">
        <v>7186000</v>
      </c>
      <c r="K13" s="16">
        <v>9156000</v>
      </c>
      <c r="L13" s="16">
        <v>8215000</v>
      </c>
      <c r="M13" s="16">
        <v>7689000</v>
      </c>
      <c r="N13" s="16">
        <v>7821000</v>
      </c>
      <c r="O13" s="16">
        <v>11826000</v>
      </c>
      <c r="P13" s="16">
        <v>8232000</v>
      </c>
      <c r="Q13" s="16">
        <v>8696000</v>
      </c>
      <c r="R13" s="16">
        <v>11387000</v>
      </c>
      <c r="S13" s="16">
        <v>9081000</v>
      </c>
      <c r="T13" s="16">
        <v>9046000</v>
      </c>
      <c r="U13" s="16">
        <v>7763000</v>
      </c>
      <c r="V13" s="16">
        <v>7304000</v>
      </c>
      <c r="W13" s="16">
        <v>7346000</v>
      </c>
      <c r="X13" s="16">
        <v>7323000</v>
      </c>
      <c r="Y13" s="16">
        <v>7280000</v>
      </c>
      <c r="Z13" s="16">
        <v>8008000</v>
      </c>
      <c r="AA13" s="16">
        <v>9432000</v>
      </c>
      <c r="AB13" s="16">
        <v>10801000</v>
      </c>
      <c r="AC13" s="16">
        <v>10361000</v>
      </c>
      <c r="AD13" s="16">
        <v>11215000</v>
      </c>
      <c r="AE13" s="16">
        <v>10036000</v>
      </c>
      <c r="AF13" s="16">
        <v>7672000</v>
      </c>
      <c r="AG13" s="16">
        <v>7598000</v>
      </c>
      <c r="AH13" s="16">
        <v>8153000</v>
      </c>
      <c r="AI13" s="16">
        <v>7434000</v>
      </c>
      <c r="AJ13" s="16">
        <v>7045000</v>
      </c>
      <c r="AK13" s="16">
        <v>6434000</v>
      </c>
      <c r="AL13" s="16">
        <v>6978000</v>
      </c>
      <c r="AM13" s="16">
        <v>8102000</v>
      </c>
      <c r="AN13" s="16">
        <v>9491000</v>
      </c>
      <c r="AO13" s="16">
        <v>11392000</v>
      </c>
      <c r="AP13" s="16">
        <v>9730000</v>
      </c>
      <c r="AQ13" s="16">
        <v>7307000</v>
      </c>
      <c r="AR13" s="16">
        <v>6537000</v>
      </c>
      <c r="AS13" s="16">
        <v>6978000</v>
      </c>
      <c r="AT13" s="13">
        <v>6294000</v>
      </c>
      <c r="AU13" s="16">
        <v>6703000</v>
      </c>
      <c r="AV13" s="16">
        <v>6354000</v>
      </c>
      <c r="AW13" s="16">
        <v>5644000</v>
      </c>
      <c r="AX13" s="16">
        <v>9320000</v>
      </c>
      <c r="AY13" s="16">
        <v>9205000</v>
      </c>
      <c r="AZ13" s="16">
        <v>9521000</v>
      </c>
      <c r="BA13" s="16">
        <v>8508000</v>
      </c>
      <c r="BB13" s="16">
        <v>7548000</v>
      </c>
      <c r="BC13" s="16">
        <v>6748000</v>
      </c>
      <c r="BD13" s="13">
        <v>6466000</v>
      </c>
      <c r="BE13" s="16">
        <v>6840000</v>
      </c>
      <c r="BF13" s="16">
        <v>5976000</v>
      </c>
      <c r="BG13" s="16">
        <v>8431000</v>
      </c>
      <c r="BH13" s="16">
        <v>5932782</v>
      </c>
      <c r="BI13" s="16">
        <v>6280000</v>
      </c>
      <c r="BJ13" s="16">
        <v>6924000</v>
      </c>
      <c r="BK13" s="16">
        <v>10167000</v>
      </c>
      <c r="BL13" s="16">
        <v>9061000</v>
      </c>
      <c r="BM13" s="16">
        <v>9554000</v>
      </c>
      <c r="BN13" s="16">
        <v>10516000</v>
      </c>
      <c r="BO13" s="16">
        <v>9018000</v>
      </c>
      <c r="BP13" s="13">
        <v>7664000</v>
      </c>
      <c r="BQ13" s="16">
        <v>7915000</v>
      </c>
      <c r="BR13" s="16">
        <v>6803000</v>
      </c>
      <c r="BS13" s="16">
        <v>7239000</v>
      </c>
      <c r="BT13" s="16">
        <v>7807000</v>
      </c>
      <c r="BU13" s="16">
        <v>7905000</v>
      </c>
      <c r="BV13" s="16">
        <v>6922000</v>
      </c>
      <c r="BW13" s="16">
        <v>9647000</v>
      </c>
      <c r="BX13" s="16">
        <v>11521000</v>
      </c>
      <c r="BY13" s="16">
        <v>11454000</v>
      </c>
      <c r="BZ13" s="16">
        <v>8547000</v>
      </c>
      <c r="CA13" s="16">
        <v>9134000</v>
      </c>
      <c r="CB13" s="13">
        <v>6705000</v>
      </c>
      <c r="CC13" s="16">
        <v>7634000</v>
      </c>
      <c r="CD13" s="16">
        <v>7029000</v>
      </c>
      <c r="CE13" s="16">
        <v>6830000</v>
      </c>
      <c r="CF13" s="16">
        <v>9109000</v>
      </c>
      <c r="CG13" s="16">
        <v>8294000</v>
      </c>
      <c r="CH13" s="16">
        <v>8450000</v>
      </c>
      <c r="CI13" s="16">
        <v>13814000</v>
      </c>
      <c r="CJ13" s="16">
        <v>11964000</v>
      </c>
      <c r="CK13" s="16">
        <v>12545000</v>
      </c>
      <c r="CL13" s="16">
        <v>10975000</v>
      </c>
      <c r="CM13" s="16">
        <v>7719000</v>
      </c>
      <c r="CN13" s="13">
        <v>6728000</v>
      </c>
      <c r="CO13" s="16">
        <v>8323000</v>
      </c>
      <c r="CP13" s="16">
        <v>7079000</v>
      </c>
      <c r="CQ13" s="16">
        <v>7066000</v>
      </c>
      <c r="CR13" s="16">
        <v>6294000</v>
      </c>
      <c r="CS13" s="16">
        <v>7383000</v>
      </c>
      <c r="CT13" s="16">
        <v>8377000</v>
      </c>
      <c r="CU13" s="16">
        <v>8562000</v>
      </c>
      <c r="CV13" s="16">
        <v>11268000</v>
      </c>
      <c r="CW13" s="16">
        <v>11756000</v>
      </c>
      <c r="CX13" s="16">
        <v>11338000</v>
      </c>
      <c r="CY13" s="16">
        <v>8897000</v>
      </c>
      <c r="CZ13" s="13">
        <v>8909000</v>
      </c>
      <c r="DA13" s="16">
        <v>8009000</v>
      </c>
      <c r="DB13" s="16">
        <v>7190000</v>
      </c>
      <c r="DC13" s="16">
        <v>7151000</v>
      </c>
      <c r="DD13" s="16">
        <v>7190000</v>
      </c>
      <c r="DE13" s="22">
        <v>7151000</v>
      </c>
      <c r="DF13" s="16">
        <v>8098000</v>
      </c>
      <c r="DG13" s="16">
        <v>9728000</v>
      </c>
      <c r="DH13" s="16">
        <v>10251000</v>
      </c>
      <c r="DI13" s="16">
        <v>11079000</v>
      </c>
      <c r="DJ13" s="16">
        <v>10150000</v>
      </c>
      <c r="DK13" s="16">
        <v>8907000</v>
      </c>
      <c r="DL13" s="13">
        <v>8567000</v>
      </c>
      <c r="DM13" s="16">
        <v>6769000</v>
      </c>
      <c r="DN13" s="16">
        <v>6939000</v>
      </c>
      <c r="DO13" s="16">
        <v>8662000</v>
      </c>
      <c r="DP13" s="16">
        <v>7037000</v>
      </c>
      <c r="DQ13" s="16">
        <v>7644000</v>
      </c>
      <c r="DR13" s="16">
        <v>6994000</v>
      </c>
      <c r="DS13" s="16">
        <v>7943000</v>
      </c>
      <c r="DT13" s="16">
        <v>11126000</v>
      </c>
      <c r="DU13" s="16">
        <v>11417000</v>
      </c>
      <c r="DV13" s="16">
        <v>10046000</v>
      </c>
      <c r="DW13" s="16">
        <v>7838000</v>
      </c>
      <c r="DX13" s="13">
        <v>8247000</v>
      </c>
      <c r="DY13" s="16">
        <v>7473000</v>
      </c>
      <c r="DZ13" s="16">
        <v>6531000</v>
      </c>
      <c r="EA13" s="16">
        <v>8006000</v>
      </c>
      <c r="EB13" s="16">
        <v>6842000</v>
      </c>
      <c r="EC13" s="16">
        <v>6714000</v>
      </c>
      <c r="ED13" s="16">
        <v>7576000</v>
      </c>
      <c r="EE13" s="16">
        <v>8345000</v>
      </c>
      <c r="EF13" s="16">
        <v>7846000</v>
      </c>
      <c r="EG13" s="16">
        <v>11696000</v>
      </c>
      <c r="EH13" s="16">
        <v>9502000</v>
      </c>
      <c r="EI13" s="16">
        <v>8602000</v>
      </c>
      <c r="EJ13" s="13">
        <v>6544000</v>
      </c>
      <c r="EK13" s="16">
        <v>6188000</v>
      </c>
      <c r="EL13" s="16">
        <v>6956000</v>
      </c>
      <c r="EM13" s="16">
        <v>6271000</v>
      </c>
      <c r="EN13" s="16">
        <v>6566000</v>
      </c>
      <c r="EO13" s="16">
        <v>7176000</v>
      </c>
      <c r="EP13" s="16">
        <v>6582000</v>
      </c>
      <c r="EQ13" s="16">
        <v>10646000</v>
      </c>
      <c r="ER13" s="16">
        <v>12233000</v>
      </c>
      <c r="ES13" s="16">
        <v>11458000</v>
      </c>
      <c r="ET13" s="16">
        <v>11435000</v>
      </c>
      <c r="EU13" s="16">
        <v>9730000</v>
      </c>
      <c r="EV13" s="13">
        <v>8137000</v>
      </c>
      <c r="EW13" s="16">
        <v>8783000</v>
      </c>
      <c r="EX13" s="16">
        <v>7228000</v>
      </c>
      <c r="EY13" s="16">
        <v>7642000</v>
      </c>
      <c r="EZ13" s="16">
        <v>6848000</v>
      </c>
      <c r="FA13" s="16">
        <v>7380000</v>
      </c>
      <c r="FB13" s="16">
        <v>7428000</v>
      </c>
      <c r="FC13" s="357">
        <v>9935100</v>
      </c>
      <c r="FD13" s="357">
        <v>10614040</v>
      </c>
      <c r="FE13" s="357">
        <v>10976750</v>
      </c>
      <c r="FF13" s="359">
        <v>8189000</v>
      </c>
      <c r="FG13" s="16">
        <v>7822000</v>
      </c>
      <c r="FH13" s="13">
        <v>7691000</v>
      </c>
      <c r="FI13" s="16">
        <v>7613000</v>
      </c>
      <c r="FJ13" s="16">
        <v>7511000</v>
      </c>
      <c r="FK13" s="16">
        <v>6932000</v>
      </c>
      <c r="FL13" s="16">
        <v>6470000</v>
      </c>
      <c r="FM13" s="16">
        <v>6550000</v>
      </c>
      <c r="FN13" s="16">
        <v>7043000</v>
      </c>
      <c r="FO13" s="16">
        <v>7690000</v>
      </c>
      <c r="FP13" s="16">
        <v>9314000</v>
      </c>
      <c r="FQ13" s="16">
        <v>11137000</v>
      </c>
      <c r="FR13" s="16">
        <v>10485000</v>
      </c>
      <c r="FS13" s="16">
        <v>9286000</v>
      </c>
      <c r="FT13" s="13">
        <v>5746000</v>
      </c>
      <c r="FU13" s="16">
        <v>5698000</v>
      </c>
      <c r="FV13" s="16">
        <v>6518000</v>
      </c>
      <c r="FW13" s="16">
        <v>6336000</v>
      </c>
      <c r="FX13" s="16">
        <v>6012000</v>
      </c>
      <c r="FY13" s="16">
        <v>6355000</v>
      </c>
      <c r="FZ13" s="16">
        <v>4930000</v>
      </c>
      <c r="GA13" s="16">
        <v>7563000</v>
      </c>
      <c r="GB13" s="197">
        <v>7698000</v>
      </c>
      <c r="GC13" s="197">
        <v>9537000</v>
      </c>
      <c r="GD13" s="16">
        <v>6659000</v>
      </c>
      <c r="GE13" s="16">
        <v>7922000</v>
      </c>
      <c r="GF13" s="13">
        <v>7332000</v>
      </c>
      <c r="GG13" s="415">
        <v>7506000</v>
      </c>
    </row>
    <row r="14" spans="2:189" ht="14.25">
      <c r="B14" s="13">
        <v>9167000</v>
      </c>
      <c r="C14" s="16">
        <v>9605000</v>
      </c>
      <c r="D14" s="16">
        <v>11288000</v>
      </c>
      <c r="E14" s="16">
        <v>14161000</v>
      </c>
      <c r="F14" s="16">
        <v>9886000</v>
      </c>
      <c r="G14" s="16">
        <v>8983000</v>
      </c>
      <c r="H14" s="16">
        <v>8213000</v>
      </c>
      <c r="I14" s="16">
        <v>8739000</v>
      </c>
      <c r="J14" s="16">
        <v>7370000</v>
      </c>
      <c r="K14" s="16">
        <v>8161000</v>
      </c>
      <c r="L14" s="16">
        <v>7639000</v>
      </c>
      <c r="M14" s="16">
        <v>8341000</v>
      </c>
      <c r="N14" s="16">
        <v>7710000</v>
      </c>
      <c r="O14" s="16">
        <v>10365000</v>
      </c>
      <c r="P14" s="16">
        <v>7804000</v>
      </c>
      <c r="Q14" s="16">
        <v>8329000</v>
      </c>
      <c r="R14" s="16">
        <v>12341000</v>
      </c>
      <c r="S14" s="16">
        <v>8195000</v>
      </c>
      <c r="T14" s="16">
        <v>7727000</v>
      </c>
      <c r="U14" s="16">
        <v>7974000</v>
      </c>
      <c r="V14" s="16">
        <v>7203000</v>
      </c>
      <c r="W14" s="16">
        <v>7439000</v>
      </c>
      <c r="X14" s="16">
        <v>8291000</v>
      </c>
      <c r="Y14" s="16">
        <v>7839000</v>
      </c>
      <c r="Z14" s="16">
        <v>8140000</v>
      </c>
      <c r="AA14" s="16">
        <v>8520000</v>
      </c>
      <c r="AB14" s="16">
        <v>9374000</v>
      </c>
      <c r="AC14" s="16">
        <v>9585000</v>
      </c>
      <c r="AD14" s="16">
        <v>9279000</v>
      </c>
      <c r="AE14" s="16">
        <v>9532000</v>
      </c>
      <c r="AF14" s="16">
        <v>7736000</v>
      </c>
      <c r="AG14" s="16">
        <v>6494000</v>
      </c>
      <c r="AH14" s="16">
        <v>6695000</v>
      </c>
      <c r="AI14" s="16">
        <v>6762000</v>
      </c>
      <c r="AJ14" s="16">
        <v>7179000</v>
      </c>
      <c r="AK14" s="16">
        <v>7750000</v>
      </c>
      <c r="AL14" s="16">
        <v>7276000</v>
      </c>
      <c r="AM14" s="16">
        <v>8132000</v>
      </c>
      <c r="AN14" s="16">
        <v>9143000</v>
      </c>
      <c r="AO14" s="16">
        <v>13477000</v>
      </c>
      <c r="AP14" s="16">
        <v>9341000</v>
      </c>
      <c r="AQ14" s="16">
        <v>6430000</v>
      </c>
      <c r="AR14" s="16">
        <v>5801000</v>
      </c>
      <c r="AS14" s="16">
        <v>6370000</v>
      </c>
      <c r="AT14" s="13">
        <v>6294000</v>
      </c>
      <c r="AU14" s="16">
        <v>5832000</v>
      </c>
      <c r="AV14" s="16">
        <v>4842000</v>
      </c>
      <c r="AW14" s="16">
        <v>7984000</v>
      </c>
      <c r="AX14" s="16">
        <v>4627000</v>
      </c>
      <c r="AY14" s="16">
        <v>5555000</v>
      </c>
      <c r="AZ14" s="16">
        <v>10580000</v>
      </c>
      <c r="BA14" s="16">
        <v>8526000</v>
      </c>
      <c r="BB14" s="16">
        <v>7407000</v>
      </c>
      <c r="BC14" s="16">
        <v>6831000</v>
      </c>
      <c r="BD14" s="13">
        <v>7379000</v>
      </c>
      <c r="BE14" s="16">
        <v>6594000</v>
      </c>
      <c r="BF14" s="16">
        <v>6189000</v>
      </c>
      <c r="BG14" s="16">
        <v>6933000</v>
      </c>
      <c r="BH14" s="16">
        <v>7380058</v>
      </c>
      <c r="BI14" s="16">
        <v>6079000</v>
      </c>
      <c r="BJ14" s="16">
        <v>6332000</v>
      </c>
      <c r="BK14" s="16">
        <v>8169000</v>
      </c>
      <c r="BL14" s="16">
        <v>10909000</v>
      </c>
      <c r="BM14" s="16">
        <v>12014000</v>
      </c>
      <c r="BN14" s="16">
        <v>11128000</v>
      </c>
      <c r="BO14" s="16">
        <v>8174000</v>
      </c>
      <c r="BP14" s="13">
        <v>8202000</v>
      </c>
      <c r="BQ14" s="16">
        <v>7554000</v>
      </c>
      <c r="BR14" s="16">
        <v>7643000</v>
      </c>
      <c r="BS14" s="16">
        <v>7810000</v>
      </c>
      <c r="BT14" s="16">
        <v>7305000</v>
      </c>
      <c r="BU14" s="16">
        <v>7208000</v>
      </c>
      <c r="BV14" s="16">
        <v>6787000</v>
      </c>
      <c r="BW14" s="16">
        <v>10028000</v>
      </c>
      <c r="BX14" s="16">
        <v>8759000</v>
      </c>
      <c r="BY14" s="16">
        <v>11176000</v>
      </c>
      <c r="BZ14" s="16">
        <v>8513000</v>
      </c>
      <c r="CA14" s="16">
        <v>10441000</v>
      </c>
      <c r="CB14" s="13">
        <v>8018000</v>
      </c>
      <c r="CC14" s="16">
        <v>7476000</v>
      </c>
      <c r="CD14" s="16">
        <v>7316000</v>
      </c>
      <c r="CE14" s="16">
        <v>6678000</v>
      </c>
      <c r="CF14" s="16">
        <v>8834000</v>
      </c>
      <c r="CG14" s="16">
        <v>8231000</v>
      </c>
      <c r="CH14" s="16">
        <v>8405000</v>
      </c>
      <c r="CI14" s="16">
        <v>12104000</v>
      </c>
      <c r="CJ14" s="16">
        <v>8736000</v>
      </c>
      <c r="CK14" s="16">
        <v>12022000</v>
      </c>
      <c r="CL14" s="16">
        <v>9630000</v>
      </c>
      <c r="CM14" s="16">
        <v>9176000</v>
      </c>
      <c r="CN14" s="13">
        <v>8344000</v>
      </c>
      <c r="CO14" s="16">
        <v>7897000</v>
      </c>
      <c r="CP14" s="16">
        <v>6955000</v>
      </c>
      <c r="CQ14" s="16">
        <v>6681000</v>
      </c>
      <c r="CR14" s="16">
        <v>6414000</v>
      </c>
      <c r="CS14" s="16">
        <v>8060000</v>
      </c>
      <c r="CT14" s="16">
        <v>6800000</v>
      </c>
      <c r="CU14" s="16">
        <v>9491000</v>
      </c>
      <c r="CV14" s="16">
        <v>10953000</v>
      </c>
      <c r="CW14" s="16">
        <v>12290000</v>
      </c>
      <c r="CX14" s="16">
        <v>9530000</v>
      </c>
      <c r="CY14" s="16">
        <v>9643000</v>
      </c>
      <c r="CZ14" s="13">
        <v>7977000</v>
      </c>
      <c r="DA14" s="16">
        <v>6893000</v>
      </c>
      <c r="DB14" s="16">
        <v>7975000</v>
      </c>
      <c r="DC14" s="16">
        <v>8233000</v>
      </c>
      <c r="DD14" s="16">
        <v>7214000</v>
      </c>
      <c r="DE14" s="22">
        <v>7128000</v>
      </c>
      <c r="DF14" s="16">
        <v>7887000</v>
      </c>
      <c r="DG14" s="16">
        <v>10045000</v>
      </c>
      <c r="DH14" s="16">
        <v>10508000</v>
      </c>
      <c r="DI14" s="16">
        <v>10845000</v>
      </c>
      <c r="DJ14" s="16">
        <v>11295000</v>
      </c>
      <c r="DK14" s="16">
        <v>9610000</v>
      </c>
      <c r="DL14" s="13">
        <v>8501000</v>
      </c>
      <c r="DM14" s="16">
        <v>6909000</v>
      </c>
      <c r="DN14" s="16">
        <v>7001000</v>
      </c>
      <c r="DO14" s="16">
        <v>7591000</v>
      </c>
      <c r="DP14" s="16">
        <v>6865000</v>
      </c>
      <c r="DQ14" s="16">
        <v>6320000</v>
      </c>
      <c r="DR14" s="16">
        <v>7465000</v>
      </c>
      <c r="DS14" s="16">
        <v>7943000</v>
      </c>
      <c r="DT14" s="16">
        <v>11691000</v>
      </c>
      <c r="DU14" s="16">
        <v>10532000</v>
      </c>
      <c r="DV14" s="16">
        <v>9674000</v>
      </c>
      <c r="DW14" s="16">
        <v>9080000</v>
      </c>
      <c r="DX14" s="13">
        <v>7796000</v>
      </c>
      <c r="DY14" s="16">
        <v>6731000</v>
      </c>
      <c r="DZ14" s="16">
        <v>8429000</v>
      </c>
      <c r="EA14" s="16">
        <v>6716000</v>
      </c>
      <c r="EB14" s="16">
        <v>6421000</v>
      </c>
      <c r="EC14" s="16">
        <v>7096000</v>
      </c>
      <c r="ED14" s="16">
        <v>7859000</v>
      </c>
      <c r="EE14" s="16">
        <v>9732000</v>
      </c>
      <c r="EF14" s="16">
        <v>7882000</v>
      </c>
      <c r="EG14" s="16">
        <v>10641000</v>
      </c>
      <c r="EH14" s="16">
        <v>9378000</v>
      </c>
      <c r="EI14" s="16">
        <v>9087000</v>
      </c>
      <c r="EJ14" s="13">
        <v>6594000</v>
      </c>
      <c r="EK14" s="16">
        <v>6949000</v>
      </c>
      <c r="EL14" s="16">
        <v>5822000</v>
      </c>
      <c r="EM14" s="16">
        <v>6231000</v>
      </c>
      <c r="EN14" s="16">
        <v>7103000</v>
      </c>
      <c r="EO14" s="16">
        <v>7216000</v>
      </c>
      <c r="EP14" s="16">
        <v>6872000</v>
      </c>
      <c r="EQ14" s="16">
        <v>6350000</v>
      </c>
      <c r="ER14" s="16">
        <v>12310000</v>
      </c>
      <c r="ES14" s="16">
        <v>10967000</v>
      </c>
      <c r="ET14" s="16">
        <v>12257000</v>
      </c>
      <c r="EU14" s="16">
        <v>10096000</v>
      </c>
      <c r="EV14" s="13">
        <v>8848000</v>
      </c>
      <c r="EW14" s="16">
        <v>8791000</v>
      </c>
      <c r="EX14" s="16">
        <v>8588000</v>
      </c>
      <c r="EY14" s="16">
        <v>7763000</v>
      </c>
      <c r="EZ14" s="16">
        <v>7314000</v>
      </c>
      <c r="FA14" s="16">
        <v>6645000</v>
      </c>
      <c r="FB14" s="16">
        <v>7783000</v>
      </c>
      <c r="FC14" s="357">
        <v>10169160</v>
      </c>
      <c r="FD14" s="357">
        <v>10345120</v>
      </c>
      <c r="FE14" s="357">
        <v>11053110</v>
      </c>
      <c r="FF14" s="359">
        <v>8407000</v>
      </c>
      <c r="FG14" s="16">
        <v>8130000</v>
      </c>
      <c r="FH14" s="13">
        <v>7691000</v>
      </c>
      <c r="FI14" s="16">
        <v>6848000</v>
      </c>
      <c r="FJ14" s="16">
        <v>6651000</v>
      </c>
      <c r="FK14" s="16">
        <v>5072000</v>
      </c>
      <c r="FL14" s="16">
        <v>6713000</v>
      </c>
      <c r="FM14" s="16">
        <v>5910000</v>
      </c>
      <c r="FN14" s="16">
        <v>7797000</v>
      </c>
      <c r="FO14" s="16">
        <v>8189000</v>
      </c>
      <c r="FP14" s="16">
        <v>6942000</v>
      </c>
      <c r="FQ14" s="16">
        <v>11106000</v>
      </c>
      <c r="FR14" s="16">
        <v>10920000</v>
      </c>
      <c r="FS14" s="16">
        <v>8642000</v>
      </c>
      <c r="FT14" s="13">
        <v>6858000</v>
      </c>
      <c r="FU14" s="16">
        <v>5573000</v>
      </c>
      <c r="FV14" s="16">
        <v>6215000</v>
      </c>
      <c r="FW14" s="16">
        <v>6194000</v>
      </c>
      <c r="FX14" s="16">
        <v>5553000</v>
      </c>
      <c r="FY14" s="16">
        <v>5442000</v>
      </c>
      <c r="FZ14" s="16">
        <v>7790000</v>
      </c>
      <c r="GA14" s="16">
        <v>7336000</v>
      </c>
      <c r="GB14" s="197">
        <v>9984000</v>
      </c>
      <c r="GC14" s="197">
        <v>10227000</v>
      </c>
      <c r="GD14" s="16">
        <v>7436000</v>
      </c>
      <c r="GE14" s="16">
        <v>8033000</v>
      </c>
      <c r="GF14" s="13">
        <v>7220000</v>
      </c>
      <c r="GG14" s="415">
        <v>6414000</v>
      </c>
    </row>
    <row r="15" spans="2:189" ht="14.25">
      <c r="B15" s="13">
        <v>9323000</v>
      </c>
      <c r="C15" s="16">
        <v>9784000</v>
      </c>
      <c r="D15" s="16">
        <v>10761000</v>
      </c>
      <c r="E15" s="16">
        <v>12876000</v>
      </c>
      <c r="F15" s="16">
        <v>10245000</v>
      </c>
      <c r="G15" s="16">
        <v>8616000</v>
      </c>
      <c r="H15" s="16">
        <v>8330000</v>
      </c>
      <c r="I15" s="16">
        <v>8265000</v>
      </c>
      <c r="J15" s="16">
        <v>6719000</v>
      </c>
      <c r="K15" s="16">
        <v>7941000</v>
      </c>
      <c r="L15" s="16">
        <v>6911000</v>
      </c>
      <c r="M15" s="16">
        <v>7359000</v>
      </c>
      <c r="N15" s="16">
        <v>7484000</v>
      </c>
      <c r="O15" s="16">
        <v>9364000</v>
      </c>
      <c r="P15" s="16">
        <v>8211000</v>
      </c>
      <c r="Q15" s="16">
        <v>8539000</v>
      </c>
      <c r="R15" s="16">
        <v>9866000</v>
      </c>
      <c r="S15" s="16">
        <v>9461000</v>
      </c>
      <c r="T15" s="16">
        <v>7865000</v>
      </c>
      <c r="U15" s="16">
        <v>6943000</v>
      </c>
      <c r="V15" s="16">
        <v>7726000</v>
      </c>
      <c r="W15" s="16">
        <v>7970000</v>
      </c>
      <c r="X15" s="16">
        <v>7013000</v>
      </c>
      <c r="Y15" s="16">
        <v>7527000</v>
      </c>
      <c r="Z15" s="16">
        <v>8667000</v>
      </c>
      <c r="AA15" s="16">
        <v>9721000</v>
      </c>
      <c r="AB15" s="16">
        <v>8912000</v>
      </c>
      <c r="AC15" s="16">
        <v>10032000</v>
      </c>
      <c r="AD15" s="16">
        <v>8301000</v>
      </c>
      <c r="AE15" s="16">
        <v>9160000</v>
      </c>
      <c r="AF15" s="16">
        <v>7781000</v>
      </c>
      <c r="AG15" s="16">
        <v>7264000</v>
      </c>
      <c r="AH15" s="16">
        <v>7048000</v>
      </c>
      <c r="AI15" s="16">
        <v>7200000</v>
      </c>
      <c r="AJ15" s="16">
        <v>7019000</v>
      </c>
      <c r="AK15" s="16">
        <v>6513000</v>
      </c>
      <c r="AL15" s="16">
        <v>6183000</v>
      </c>
      <c r="AM15" s="16">
        <v>8281000</v>
      </c>
      <c r="AN15" s="16">
        <v>10063000</v>
      </c>
      <c r="AO15" s="16">
        <v>12427000</v>
      </c>
      <c r="AP15" s="16">
        <v>8747000</v>
      </c>
      <c r="AQ15" s="16">
        <v>6200000</v>
      </c>
      <c r="AR15" s="16">
        <v>6341000</v>
      </c>
      <c r="AS15" s="16">
        <v>6500000</v>
      </c>
      <c r="AT15" s="13">
        <v>6294000</v>
      </c>
      <c r="AU15" s="16">
        <v>5318000</v>
      </c>
      <c r="AV15" s="16">
        <v>6850000</v>
      </c>
      <c r="AW15" s="16">
        <v>5392000</v>
      </c>
      <c r="AX15" s="16">
        <v>6055000</v>
      </c>
      <c r="AY15" s="16">
        <v>7763000</v>
      </c>
      <c r="AZ15" s="16">
        <v>6889000</v>
      </c>
      <c r="BA15" s="16">
        <v>8793000</v>
      </c>
      <c r="BB15" s="16">
        <v>7621000</v>
      </c>
      <c r="BC15" s="16">
        <v>6954000</v>
      </c>
      <c r="BD15" s="13">
        <v>6978000</v>
      </c>
      <c r="BE15" s="16">
        <v>6889000</v>
      </c>
      <c r="BF15" s="16">
        <v>6235000</v>
      </c>
      <c r="BG15" s="16">
        <v>6454000</v>
      </c>
      <c r="BH15" s="16">
        <v>6707429</v>
      </c>
      <c r="BI15" s="16">
        <v>7155000</v>
      </c>
      <c r="BJ15" s="16">
        <v>7818000</v>
      </c>
      <c r="BK15" s="16">
        <v>8041000</v>
      </c>
      <c r="BL15" s="16">
        <v>10259000</v>
      </c>
      <c r="BM15" s="16">
        <v>7912000</v>
      </c>
      <c r="BN15" s="16">
        <v>9361000</v>
      </c>
      <c r="BO15" s="16">
        <v>8690000</v>
      </c>
      <c r="BP15" s="13">
        <v>7953000</v>
      </c>
      <c r="BQ15" s="16">
        <v>8834000</v>
      </c>
      <c r="BR15" s="16">
        <v>8151000</v>
      </c>
      <c r="BS15" s="16">
        <v>7827000</v>
      </c>
      <c r="BT15" s="16">
        <v>7295000</v>
      </c>
      <c r="BU15" s="16">
        <v>8086000</v>
      </c>
      <c r="BV15" s="16">
        <v>7025000</v>
      </c>
      <c r="BW15" s="16">
        <v>9066000</v>
      </c>
      <c r="BX15" s="16">
        <v>11388000</v>
      </c>
      <c r="BY15" s="16">
        <v>10040000</v>
      </c>
      <c r="BZ15" s="16">
        <v>10274000</v>
      </c>
      <c r="CA15" s="16">
        <v>10845000</v>
      </c>
      <c r="CB15" s="13">
        <v>8953000</v>
      </c>
      <c r="CC15" s="16">
        <v>6684000</v>
      </c>
      <c r="CD15" s="16">
        <v>8807000</v>
      </c>
      <c r="CE15" s="16">
        <v>7095000</v>
      </c>
      <c r="CF15" s="16">
        <v>7289000</v>
      </c>
      <c r="CG15" s="16">
        <v>7816000</v>
      </c>
      <c r="CH15" s="16">
        <v>7492000</v>
      </c>
      <c r="CI15" s="16">
        <v>11107000</v>
      </c>
      <c r="CJ15" s="16">
        <v>10960000</v>
      </c>
      <c r="CK15" s="16">
        <v>12705000</v>
      </c>
      <c r="CL15" s="16">
        <v>9204000</v>
      </c>
      <c r="CM15" s="16">
        <v>9381000</v>
      </c>
      <c r="CN15" s="13">
        <v>9093000</v>
      </c>
      <c r="CO15" s="16">
        <v>7330000</v>
      </c>
      <c r="CP15" s="16">
        <v>6866000</v>
      </c>
      <c r="CQ15" s="16">
        <v>7124000</v>
      </c>
      <c r="CR15" s="16">
        <v>7398000</v>
      </c>
      <c r="CS15" s="16">
        <v>6468000</v>
      </c>
      <c r="CT15" s="16">
        <v>8610000</v>
      </c>
      <c r="CU15" s="16">
        <v>10746000</v>
      </c>
      <c r="CV15" s="16">
        <v>12325000</v>
      </c>
      <c r="CW15" s="16">
        <v>12917000</v>
      </c>
      <c r="CX15" s="16">
        <v>10279000</v>
      </c>
      <c r="CY15" s="16">
        <v>9951000</v>
      </c>
      <c r="CZ15" s="13">
        <v>8033000</v>
      </c>
      <c r="DA15" s="16">
        <v>7386000</v>
      </c>
      <c r="DB15" s="16">
        <v>7015000</v>
      </c>
      <c r="DC15" s="16">
        <v>9250000</v>
      </c>
      <c r="DD15" s="16">
        <v>7166000</v>
      </c>
      <c r="DE15" s="22">
        <v>7412000</v>
      </c>
      <c r="DF15" s="16">
        <v>7397000</v>
      </c>
      <c r="DG15" s="16">
        <v>8380000</v>
      </c>
      <c r="DH15" s="16">
        <v>8426000</v>
      </c>
      <c r="DI15" s="16">
        <v>10570000</v>
      </c>
      <c r="DJ15" s="16">
        <v>10713000</v>
      </c>
      <c r="DK15" s="16">
        <v>8182000</v>
      </c>
      <c r="DL15" s="13">
        <v>7906000</v>
      </c>
      <c r="DM15" s="16">
        <v>7304000</v>
      </c>
      <c r="DN15" s="16">
        <v>7533000</v>
      </c>
      <c r="DO15" s="16">
        <v>6645000</v>
      </c>
      <c r="DP15" s="16">
        <v>6250000</v>
      </c>
      <c r="DQ15" s="16">
        <v>6457000</v>
      </c>
      <c r="DR15" s="16">
        <v>7914000</v>
      </c>
      <c r="DS15" s="16">
        <v>7943000</v>
      </c>
      <c r="DT15" s="16">
        <v>9952000</v>
      </c>
      <c r="DU15" s="16">
        <v>7794000</v>
      </c>
      <c r="DV15" s="16">
        <v>10687000</v>
      </c>
      <c r="DW15" s="16">
        <v>8827000</v>
      </c>
      <c r="DX15" s="13">
        <v>9088000</v>
      </c>
      <c r="DY15" s="16">
        <v>6946000</v>
      </c>
      <c r="DZ15" s="16">
        <v>7350000</v>
      </c>
      <c r="EA15" s="16">
        <v>7605000</v>
      </c>
      <c r="EB15" s="16">
        <v>7815000</v>
      </c>
      <c r="EC15" s="16">
        <v>7269000</v>
      </c>
      <c r="ED15" s="16">
        <v>7179000</v>
      </c>
      <c r="EE15" s="16">
        <v>9914000</v>
      </c>
      <c r="EF15" s="16">
        <v>8869000</v>
      </c>
      <c r="EG15" s="16">
        <v>10382000</v>
      </c>
      <c r="EH15" s="16">
        <v>9803000</v>
      </c>
      <c r="EI15" s="16">
        <v>8646000</v>
      </c>
      <c r="EJ15" s="13">
        <v>8459000</v>
      </c>
      <c r="EK15" s="16">
        <v>6638000</v>
      </c>
      <c r="EL15" s="16">
        <v>7191000</v>
      </c>
      <c r="EM15" s="16">
        <v>6405000</v>
      </c>
      <c r="EN15" s="16">
        <v>5950000</v>
      </c>
      <c r="EO15" s="16">
        <v>7674000</v>
      </c>
      <c r="EP15" s="16">
        <v>7144000</v>
      </c>
      <c r="EQ15" s="16">
        <v>9544000</v>
      </c>
      <c r="ER15" s="16">
        <v>13042000</v>
      </c>
      <c r="ES15" s="16">
        <v>10903000</v>
      </c>
      <c r="ET15" s="16">
        <v>12736000</v>
      </c>
      <c r="EU15" s="16">
        <v>9996000</v>
      </c>
      <c r="EV15" s="13">
        <v>9388000</v>
      </c>
      <c r="EW15" s="16">
        <v>7552000</v>
      </c>
      <c r="EX15" s="16">
        <v>7607000</v>
      </c>
      <c r="EY15" s="16">
        <v>9070000</v>
      </c>
      <c r="EZ15" s="16">
        <v>6533000</v>
      </c>
      <c r="FA15" s="16">
        <v>6498000</v>
      </c>
      <c r="FB15" s="16">
        <v>7710000</v>
      </c>
      <c r="FC15" s="357">
        <v>10221450</v>
      </c>
      <c r="FD15" s="357">
        <v>11004140</v>
      </c>
      <c r="FE15" s="357">
        <v>9974110</v>
      </c>
      <c r="FF15" s="359">
        <v>8629000</v>
      </c>
      <c r="FG15" s="16">
        <v>8960000</v>
      </c>
      <c r="FH15" s="13">
        <v>7191000</v>
      </c>
      <c r="FI15" s="16">
        <v>7930000</v>
      </c>
      <c r="FJ15" s="16">
        <v>7592000</v>
      </c>
      <c r="FK15" s="16">
        <v>6082000</v>
      </c>
      <c r="FL15" s="16">
        <v>5446000</v>
      </c>
      <c r="FM15" s="16">
        <v>6707000</v>
      </c>
      <c r="FN15" s="16">
        <v>7665000</v>
      </c>
      <c r="FO15" s="16">
        <v>7822000</v>
      </c>
      <c r="FP15" s="16">
        <v>9176000</v>
      </c>
      <c r="FQ15" s="16">
        <v>12199000</v>
      </c>
      <c r="FR15" s="16">
        <v>8893000</v>
      </c>
      <c r="FS15" s="16">
        <v>6879000</v>
      </c>
      <c r="FT15" s="13">
        <v>6480000</v>
      </c>
      <c r="FU15" s="16">
        <v>7695000</v>
      </c>
      <c r="FV15" s="16">
        <v>6630000</v>
      </c>
      <c r="FW15" s="16">
        <v>7795000</v>
      </c>
      <c r="FX15" s="16">
        <v>6845000</v>
      </c>
      <c r="FY15" s="16">
        <v>5883000</v>
      </c>
      <c r="FZ15" s="16">
        <v>5845000</v>
      </c>
      <c r="GA15" s="16">
        <v>6287000</v>
      </c>
      <c r="GB15" s="197">
        <v>8098000</v>
      </c>
      <c r="GC15" s="197">
        <v>10866000</v>
      </c>
      <c r="GD15" s="16">
        <v>7495000</v>
      </c>
      <c r="GE15" s="16">
        <v>8907000</v>
      </c>
      <c r="GF15" s="13">
        <v>6988000</v>
      </c>
      <c r="GG15" s="415">
        <v>7589000</v>
      </c>
    </row>
    <row r="16" spans="2:189" ht="14.25">
      <c r="B16" s="13">
        <v>9634000</v>
      </c>
      <c r="C16" s="16">
        <v>9377000</v>
      </c>
      <c r="D16" s="16">
        <v>10507000</v>
      </c>
      <c r="E16" s="16">
        <v>13742000</v>
      </c>
      <c r="F16" s="16">
        <v>9956000</v>
      </c>
      <c r="G16" s="16">
        <v>9789000</v>
      </c>
      <c r="H16" s="16">
        <v>8628000</v>
      </c>
      <c r="I16" s="16">
        <v>7927000</v>
      </c>
      <c r="J16" s="16">
        <v>6969000</v>
      </c>
      <c r="K16" s="16">
        <v>7961000</v>
      </c>
      <c r="L16" s="16">
        <v>7408000</v>
      </c>
      <c r="M16" s="16">
        <v>7830000</v>
      </c>
      <c r="N16" s="16">
        <v>8803000</v>
      </c>
      <c r="O16" s="16">
        <v>8792000</v>
      </c>
      <c r="P16" s="16">
        <v>8225000</v>
      </c>
      <c r="Q16" s="16">
        <v>8164000</v>
      </c>
      <c r="R16" s="16">
        <v>10423000</v>
      </c>
      <c r="S16" s="16">
        <v>9444000</v>
      </c>
      <c r="T16" s="16">
        <v>7024000</v>
      </c>
      <c r="U16" s="16">
        <v>7973000</v>
      </c>
      <c r="V16" s="16">
        <v>7965000</v>
      </c>
      <c r="W16" s="16">
        <v>7764000</v>
      </c>
      <c r="X16" s="16">
        <v>8291000</v>
      </c>
      <c r="Y16" s="16">
        <v>6959000</v>
      </c>
      <c r="Z16" s="16">
        <v>7835000</v>
      </c>
      <c r="AA16" s="16">
        <v>11465000</v>
      </c>
      <c r="AB16" s="16">
        <v>11486000</v>
      </c>
      <c r="AC16" s="16">
        <v>10790000</v>
      </c>
      <c r="AD16" s="16">
        <v>8050000</v>
      </c>
      <c r="AE16" s="16">
        <v>10073000</v>
      </c>
      <c r="AF16" s="16">
        <v>7851000</v>
      </c>
      <c r="AG16" s="16">
        <v>7617000</v>
      </c>
      <c r="AH16" s="16">
        <v>6984000</v>
      </c>
      <c r="AI16" s="16">
        <v>7084000</v>
      </c>
      <c r="AJ16" s="16">
        <v>6740000</v>
      </c>
      <c r="AK16" s="16">
        <v>6638000</v>
      </c>
      <c r="AL16" s="16">
        <v>6575000</v>
      </c>
      <c r="AM16" s="16">
        <v>9137000</v>
      </c>
      <c r="AN16" s="16">
        <v>8645000</v>
      </c>
      <c r="AO16" s="16">
        <v>10354000</v>
      </c>
      <c r="AP16" s="16">
        <v>8704000</v>
      </c>
      <c r="AQ16" s="16">
        <v>6638000</v>
      </c>
      <c r="AR16" s="16">
        <v>7011000</v>
      </c>
      <c r="AS16" s="16">
        <v>6909000</v>
      </c>
      <c r="AT16" s="13">
        <v>6294000</v>
      </c>
      <c r="AU16" s="16">
        <v>6214000</v>
      </c>
      <c r="AV16" s="16">
        <v>5332000</v>
      </c>
      <c r="AW16" s="16">
        <v>4776000</v>
      </c>
      <c r="AX16" s="16">
        <v>7315000</v>
      </c>
      <c r="AY16" s="16">
        <v>7981000</v>
      </c>
      <c r="AZ16" s="16">
        <v>9910000</v>
      </c>
      <c r="BA16" s="16">
        <v>8319000</v>
      </c>
      <c r="BB16" s="16">
        <v>9982000</v>
      </c>
      <c r="BC16" s="16">
        <v>6962000</v>
      </c>
      <c r="BD16" s="13">
        <v>7978000</v>
      </c>
      <c r="BE16" s="16">
        <v>6727000</v>
      </c>
      <c r="BF16" s="16">
        <v>6906000</v>
      </c>
      <c r="BG16" s="16">
        <v>6827000</v>
      </c>
      <c r="BH16" s="16">
        <v>6854428</v>
      </c>
      <c r="BI16" s="16">
        <v>6292000</v>
      </c>
      <c r="BJ16" s="16">
        <v>6476000</v>
      </c>
      <c r="BK16" s="16">
        <v>8583000</v>
      </c>
      <c r="BL16" s="16">
        <v>10950000</v>
      </c>
      <c r="BM16" s="16">
        <v>9829000</v>
      </c>
      <c r="BN16" s="16">
        <v>10243000</v>
      </c>
      <c r="BO16" s="16">
        <v>7660000</v>
      </c>
      <c r="BP16" s="13">
        <v>8582000</v>
      </c>
      <c r="BQ16" s="16">
        <v>8131000</v>
      </c>
      <c r="BR16" s="16">
        <v>8116000</v>
      </c>
      <c r="BS16" s="16">
        <v>7613000</v>
      </c>
      <c r="BT16" s="16">
        <v>8555000</v>
      </c>
      <c r="BU16" s="16">
        <v>7943000</v>
      </c>
      <c r="BV16" s="16">
        <v>7575000</v>
      </c>
      <c r="BW16" s="16">
        <v>7899000</v>
      </c>
      <c r="BX16" s="16">
        <v>11990000</v>
      </c>
      <c r="BY16" s="16">
        <v>11608000</v>
      </c>
      <c r="BZ16" s="16">
        <v>11112000</v>
      </c>
      <c r="CA16" s="16">
        <v>10776000</v>
      </c>
      <c r="CB16" s="13">
        <v>8974000</v>
      </c>
      <c r="CC16" s="16">
        <v>7626000</v>
      </c>
      <c r="CD16" s="16">
        <v>8559000</v>
      </c>
      <c r="CE16" s="16">
        <v>7267000</v>
      </c>
      <c r="CF16" s="16">
        <v>8113000</v>
      </c>
      <c r="CG16" s="16">
        <v>8112000</v>
      </c>
      <c r="CH16" s="16">
        <v>7707000</v>
      </c>
      <c r="CI16" s="16">
        <v>13566000</v>
      </c>
      <c r="CJ16" s="16">
        <v>11242000</v>
      </c>
      <c r="CK16" s="16">
        <v>10384000</v>
      </c>
      <c r="CL16" s="16">
        <v>10289000</v>
      </c>
      <c r="CM16" s="16">
        <v>10032000</v>
      </c>
      <c r="CN16" s="13">
        <v>8913000</v>
      </c>
      <c r="CO16" s="16">
        <v>7111000</v>
      </c>
      <c r="CP16" s="16">
        <v>6709000</v>
      </c>
      <c r="CQ16" s="16">
        <v>7098000</v>
      </c>
      <c r="CR16" s="16">
        <v>7534000</v>
      </c>
      <c r="CS16" s="16">
        <v>7543000</v>
      </c>
      <c r="CT16" s="16">
        <v>8427000</v>
      </c>
      <c r="CU16" s="16">
        <v>10327000</v>
      </c>
      <c r="CV16" s="16">
        <v>12118000</v>
      </c>
      <c r="CW16" s="16">
        <v>12686000</v>
      </c>
      <c r="CX16" s="16">
        <v>9696000</v>
      </c>
      <c r="CY16" s="16">
        <v>9366000</v>
      </c>
      <c r="CZ16" s="13">
        <v>8303000</v>
      </c>
      <c r="DA16" s="16">
        <v>7558000</v>
      </c>
      <c r="DB16" s="16">
        <v>8388000</v>
      </c>
      <c r="DC16" s="16">
        <v>8289000</v>
      </c>
      <c r="DD16" s="16">
        <v>6739000</v>
      </c>
      <c r="DE16" s="22">
        <v>7159000</v>
      </c>
      <c r="DF16" s="16">
        <v>7654000</v>
      </c>
      <c r="DG16" s="16">
        <v>8867000</v>
      </c>
      <c r="DH16" s="16">
        <v>8929000</v>
      </c>
      <c r="DI16" s="16">
        <v>8413000</v>
      </c>
      <c r="DJ16" s="16">
        <v>11370000</v>
      </c>
      <c r="DK16" s="16">
        <v>7962000</v>
      </c>
      <c r="DL16" s="13">
        <v>9008000</v>
      </c>
      <c r="DM16" s="16">
        <v>6860000</v>
      </c>
      <c r="DN16" s="16">
        <v>6917000</v>
      </c>
      <c r="DO16" s="16">
        <v>6867000</v>
      </c>
      <c r="DP16" s="16">
        <v>7025000</v>
      </c>
      <c r="DQ16" s="16">
        <v>7360000</v>
      </c>
      <c r="DR16" s="16">
        <v>7166000</v>
      </c>
      <c r="DS16" s="16">
        <v>7943000</v>
      </c>
      <c r="DT16" s="16">
        <v>9901000</v>
      </c>
      <c r="DU16" s="16">
        <v>9085000</v>
      </c>
      <c r="DV16" s="16">
        <v>10861000</v>
      </c>
      <c r="DW16" s="16">
        <v>9113000</v>
      </c>
      <c r="DX16" s="13">
        <v>8457000</v>
      </c>
      <c r="DY16" s="16">
        <v>7800000</v>
      </c>
      <c r="DZ16" s="16">
        <v>7624000</v>
      </c>
      <c r="EA16" s="16">
        <v>7128000</v>
      </c>
      <c r="EB16" s="16">
        <v>7409000</v>
      </c>
      <c r="EC16" s="16">
        <v>8175000</v>
      </c>
      <c r="ED16" s="16">
        <v>6884000</v>
      </c>
      <c r="EE16" s="16">
        <v>9496000</v>
      </c>
      <c r="EF16" s="16">
        <v>9224000</v>
      </c>
      <c r="EG16" s="16">
        <v>8275000</v>
      </c>
      <c r="EH16" s="16">
        <v>9266000</v>
      </c>
      <c r="EI16" s="16">
        <v>8636000</v>
      </c>
      <c r="EJ16" s="13">
        <v>8046000</v>
      </c>
      <c r="EK16" s="16">
        <v>7112000</v>
      </c>
      <c r="EL16" s="16">
        <v>7083000</v>
      </c>
      <c r="EM16" s="16">
        <v>6972000</v>
      </c>
      <c r="EN16" s="16">
        <v>6407000</v>
      </c>
      <c r="EO16" s="16">
        <v>6267000</v>
      </c>
      <c r="EP16" s="16">
        <v>6790000</v>
      </c>
      <c r="EQ16" s="16">
        <v>7409000</v>
      </c>
      <c r="ER16" s="16">
        <v>12752000</v>
      </c>
      <c r="ES16" s="16">
        <v>12277000</v>
      </c>
      <c r="ET16" s="16">
        <v>11528000</v>
      </c>
      <c r="EU16" s="16">
        <v>10678000</v>
      </c>
      <c r="EV16" s="13">
        <v>10499000</v>
      </c>
      <c r="EW16" s="16">
        <v>7226000</v>
      </c>
      <c r="EX16" s="16">
        <v>7950000</v>
      </c>
      <c r="EY16" s="16">
        <v>8549000</v>
      </c>
      <c r="EZ16" s="16">
        <v>6543000</v>
      </c>
      <c r="FA16" s="16">
        <v>7608000</v>
      </c>
      <c r="FB16" s="16">
        <v>6865000</v>
      </c>
      <c r="FC16" s="357">
        <v>10960150</v>
      </c>
      <c r="FD16" s="357">
        <v>9844630</v>
      </c>
      <c r="FE16" s="357">
        <v>10132640</v>
      </c>
      <c r="FF16" s="359">
        <v>7254000</v>
      </c>
      <c r="FG16" s="16">
        <v>6521000</v>
      </c>
      <c r="FH16" s="13">
        <v>6302000</v>
      </c>
      <c r="FI16" s="16">
        <v>7739000</v>
      </c>
      <c r="FJ16" s="16">
        <v>6038000</v>
      </c>
      <c r="FK16" s="16">
        <v>5672000</v>
      </c>
      <c r="FL16" s="16">
        <v>5262000</v>
      </c>
      <c r="FM16" s="16">
        <v>6651000</v>
      </c>
      <c r="FN16" s="16">
        <v>6678000</v>
      </c>
      <c r="FO16" s="16">
        <v>9491000</v>
      </c>
      <c r="FP16" s="16">
        <v>9734000</v>
      </c>
      <c r="FQ16" s="16">
        <v>11067000</v>
      </c>
      <c r="FR16" s="16">
        <v>9492000</v>
      </c>
      <c r="FS16" s="16">
        <v>7751000</v>
      </c>
      <c r="FT16" s="13">
        <v>5942000</v>
      </c>
      <c r="FU16" s="16">
        <v>7728000</v>
      </c>
      <c r="FV16" s="16">
        <v>5884000</v>
      </c>
      <c r="FW16" s="16">
        <v>7051000</v>
      </c>
      <c r="FX16" s="16">
        <v>5968000</v>
      </c>
      <c r="FY16" s="16">
        <v>5658000</v>
      </c>
      <c r="FZ16" s="16">
        <v>5982000</v>
      </c>
      <c r="GA16" s="16">
        <v>6760000</v>
      </c>
      <c r="GB16" s="197">
        <v>9389000</v>
      </c>
      <c r="GC16" s="197">
        <v>10564000</v>
      </c>
      <c r="GD16" s="16">
        <v>7487000</v>
      </c>
      <c r="GE16" s="16">
        <v>7867000</v>
      </c>
      <c r="GF16" s="13">
        <v>7716000</v>
      </c>
      <c r="GG16" s="415">
        <v>7308000</v>
      </c>
    </row>
    <row r="17" spans="2:189" ht="14.25">
      <c r="B17" s="13">
        <v>9604000</v>
      </c>
      <c r="C17" s="16">
        <v>9292000</v>
      </c>
      <c r="D17" s="16">
        <v>11783000</v>
      </c>
      <c r="E17" s="16">
        <v>13302000</v>
      </c>
      <c r="F17" s="16">
        <v>9819000</v>
      </c>
      <c r="G17" s="16">
        <v>9422000</v>
      </c>
      <c r="H17" s="16">
        <v>8743000</v>
      </c>
      <c r="I17" s="16">
        <v>8451000</v>
      </c>
      <c r="J17" s="16">
        <v>7549000</v>
      </c>
      <c r="K17" s="16">
        <v>8294000</v>
      </c>
      <c r="L17" s="16">
        <v>8158000</v>
      </c>
      <c r="M17" s="16">
        <v>7591000</v>
      </c>
      <c r="N17" s="16">
        <v>9129000</v>
      </c>
      <c r="O17" s="16">
        <v>9470000</v>
      </c>
      <c r="P17" s="16">
        <v>8546000</v>
      </c>
      <c r="Q17" s="16">
        <v>9268000</v>
      </c>
      <c r="R17" s="16">
        <v>13193000</v>
      </c>
      <c r="S17" s="16">
        <v>9315000</v>
      </c>
      <c r="T17" s="16">
        <v>9026000</v>
      </c>
      <c r="U17" s="16">
        <v>7916000</v>
      </c>
      <c r="V17" s="16">
        <v>7525000</v>
      </c>
      <c r="W17" s="16">
        <v>7464000</v>
      </c>
      <c r="X17" s="16">
        <v>7048000</v>
      </c>
      <c r="Y17" s="16">
        <v>7978000</v>
      </c>
      <c r="Z17" s="16">
        <v>7940000</v>
      </c>
      <c r="AA17" s="16">
        <v>10976000</v>
      </c>
      <c r="AB17" s="16">
        <v>9627000</v>
      </c>
      <c r="AC17" s="16">
        <v>10694000</v>
      </c>
      <c r="AD17" s="16">
        <v>8698000</v>
      </c>
      <c r="AE17" s="16">
        <v>8719000</v>
      </c>
      <c r="AF17" s="16">
        <v>8264000</v>
      </c>
      <c r="AG17" s="16">
        <v>6649000</v>
      </c>
      <c r="AH17" s="16">
        <v>6888000</v>
      </c>
      <c r="AI17" s="16">
        <v>6921000</v>
      </c>
      <c r="AJ17" s="16">
        <v>7218000</v>
      </c>
      <c r="AK17" s="16">
        <v>7215000</v>
      </c>
      <c r="AL17" s="16">
        <v>7730000</v>
      </c>
      <c r="AM17" s="16">
        <v>8366000</v>
      </c>
      <c r="AN17" s="16">
        <v>7680000</v>
      </c>
      <c r="AO17" s="16">
        <v>10068000</v>
      </c>
      <c r="AP17" s="16">
        <v>8889000</v>
      </c>
      <c r="AQ17" s="16">
        <v>6939000</v>
      </c>
      <c r="AR17" s="16">
        <v>6486000</v>
      </c>
      <c r="AS17" s="16">
        <v>6997000</v>
      </c>
      <c r="AT17" s="13">
        <v>6294000</v>
      </c>
      <c r="AU17" s="16">
        <v>6959000</v>
      </c>
      <c r="AV17" s="16">
        <v>5875000</v>
      </c>
      <c r="AW17" s="16">
        <v>7899000</v>
      </c>
      <c r="AX17" s="16">
        <v>4943000</v>
      </c>
      <c r="AY17" s="16">
        <v>5253000</v>
      </c>
      <c r="AZ17" s="16">
        <v>7661000</v>
      </c>
      <c r="BA17" s="16">
        <v>9100000</v>
      </c>
      <c r="BB17" s="16">
        <v>11380000</v>
      </c>
      <c r="BC17" s="16">
        <v>6929000</v>
      </c>
      <c r="BD17" s="13">
        <v>7926000</v>
      </c>
      <c r="BE17" s="16">
        <v>6891000</v>
      </c>
      <c r="BF17" s="16">
        <v>6665000</v>
      </c>
      <c r="BG17" s="16">
        <v>7783000</v>
      </c>
      <c r="BH17" s="16">
        <v>7217132</v>
      </c>
      <c r="BI17" s="16">
        <v>6659000</v>
      </c>
      <c r="BJ17" s="16">
        <v>7980000</v>
      </c>
      <c r="BK17" s="16">
        <v>6477000</v>
      </c>
      <c r="BL17" s="16">
        <v>10142000</v>
      </c>
      <c r="BM17" s="16">
        <v>8103000</v>
      </c>
      <c r="BN17" s="16">
        <v>7605000</v>
      </c>
      <c r="BO17" s="16">
        <v>9108000</v>
      </c>
      <c r="BP17" s="13">
        <v>8909000</v>
      </c>
      <c r="BQ17" s="16">
        <v>6923000</v>
      </c>
      <c r="BR17" s="16">
        <v>7970000</v>
      </c>
      <c r="BS17" s="16">
        <v>8216000</v>
      </c>
      <c r="BT17" s="16">
        <v>8344000</v>
      </c>
      <c r="BU17" s="16">
        <v>8196000</v>
      </c>
      <c r="BV17" s="16">
        <v>7803000</v>
      </c>
      <c r="BW17" s="16">
        <v>10274000</v>
      </c>
      <c r="BX17" s="16">
        <v>11472000</v>
      </c>
      <c r="BY17" s="16">
        <v>8287000</v>
      </c>
      <c r="BZ17" s="16">
        <v>10535000</v>
      </c>
      <c r="CA17" s="16">
        <v>10548000</v>
      </c>
      <c r="CB17" s="13">
        <v>10207000</v>
      </c>
      <c r="CC17" s="16">
        <v>7898000</v>
      </c>
      <c r="CD17" s="16">
        <v>7756000</v>
      </c>
      <c r="CE17" s="16">
        <v>8020000</v>
      </c>
      <c r="CF17" s="16">
        <v>8432000</v>
      </c>
      <c r="CG17" s="16">
        <v>7557000</v>
      </c>
      <c r="CH17" s="16">
        <v>7731000</v>
      </c>
      <c r="CI17" s="16">
        <v>15385000</v>
      </c>
      <c r="CJ17" s="16">
        <v>11706000</v>
      </c>
      <c r="CK17" s="16">
        <v>9143000</v>
      </c>
      <c r="CL17" s="16">
        <v>11223000</v>
      </c>
      <c r="CM17" s="16">
        <v>8909000</v>
      </c>
      <c r="CN17" s="13">
        <v>8214000</v>
      </c>
      <c r="CO17" s="16">
        <v>7736000</v>
      </c>
      <c r="CP17" s="16">
        <v>7072000</v>
      </c>
      <c r="CQ17" s="16">
        <v>6758000</v>
      </c>
      <c r="CR17" s="16">
        <v>7407000</v>
      </c>
      <c r="CS17" s="16">
        <v>6849000</v>
      </c>
      <c r="CT17" s="16">
        <v>9724000</v>
      </c>
      <c r="CU17" s="16">
        <v>11701000</v>
      </c>
      <c r="CV17" s="16">
        <v>11736000</v>
      </c>
      <c r="CW17" s="16">
        <v>13089000</v>
      </c>
      <c r="CX17" s="16">
        <v>10843000</v>
      </c>
      <c r="CY17" s="16">
        <v>10634000</v>
      </c>
      <c r="CZ17" s="13">
        <v>8096000</v>
      </c>
      <c r="DA17" s="16">
        <v>8174000</v>
      </c>
      <c r="DB17" s="16">
        <v>7145000</v>
      </c>
      <c r="DC17" s="16">
        <v>8856000</v>
      </c>
      <c r="DD17" s="16">
        <v>7279000</v>
      </c>
      <c r="DE17" s="22">
        <v>7170000</v>
      </c>
      <c r="DF17" s="16">
        <v>8059000</v>
      </c>
      <c r="DG17" s="16">
        <v>8873000</v>
      </c>
      <c r="DH17" s="16">
        <v>9234000</v>
      </c>
      <c r="DI17" s="16">
        <v>9385000</v>
      </c>
      <c r="DJ17" s="16">
        <v>10806000</v>
      </c>
      <c r="DK17" s="16">
        <v>10288000</v>
      </c>
      <c r="DL17" s="13">
        <v>8906000</v>
      </c>
      <c r="DM17" s="16">
        <v>7368000</v>
      </c>
      <c r="DN17" s="16">
        <v>7777000</v>
      </c>
      <c r="DO17" s="16">
        <v>8153000</v>
      </c>
      <c r="DP17" s="16">
        <v>6847000</v>
      </c>
      <c r="DQ17" s="16">
        <v>6866000</v>
      </c>
      <c r="DR17" s="16">
        <v>7471000</v>
      </c>
      <c r="DS17" s="16">
        <v>7943000</v>
      </c>
      <c r="DT17" s="16">
        <v>10094000</v>
      </c>
      <c r="DU17" s="16">
        <v>9952000</v>
      </c>
      <c r="DV17" s="16">
        <v>10056000</v>
      </c>
      <c r="DW17" s="16">
        <v>8499000</v>
      </c>
      <c r="DX17" s="13">
        <v>7682000</v>
      </c>
      <c r="DY17" s="16">
        <v>7150000</v>
      </c>
      <c r="DZ17" s="16">
        <v>7187000</v>
      </c>
      <c r="EA17" s="16">
        <v>8039000</v>
      </c>
      <c r="EB17" s="16">
        <v>7399000</v>
      </c>
      <c r="EC17" s="16">
        <v>6000000</v>
      </c>
      <c r="ED17" s="16">
        <v>8037000</v>
      </c>
      <c r="EE17" s="16">
        <v>10152000</v>
      </c>
      <c r="EF17" s="16">
        <v>9901000</v>
      </c>
      <c r="EG17" s="16">
        <v>8908000</v>
      </c>
      <c r="EH17" s="16">
        <v>10051000</v>
      </c>
      <c r="EI17" s="16">
        <v>8043000</v>
      </c>
      <c r="EJ17" s="13">
        <v>7900000</v>
      </c>
      <c r="EK17" s="16">
        <v>6066000</v>
      </c>
      <c r="EL17" s="16">
        <v>6985000</v>
      </c>
      <c r="EM17" s="16">
        <v>8077000</v>
      </c>
      <c r="EN17" s="16">
        <v>5878000</v>
      </c>
      <c r="EO17" s="16">
        <v>7003000</v>
      </c>
      <c r="EP17" s="16">
        <v>7272000</v>
      </c>
      <c r="EQ17" s="16">
        <v>9235000</v>
      </c>
      <c r="ER17" s="16">
        <v>12179000</v>
      </c>
      <c r="ES17" s="16">
        <v>12537000</v>
      </c>
      <c r="ET17" s="16">
        <v>11623000</v>
      </c>
      <c r="EU17" s="16">
        <v>9880000</v>
      </c>
      <c r="EV17" s="13">
        <v>9438000</v>
      </c>
      <c r="EW17" s="16">
        <v>6839000</v>
      </c>
      <c r="EX17" s="16">
        <v>7155000</v>
      </c>
      <c r="EY17" s="16">
        <v>7176000</v>
      </c>
      <c r="EZ17" s="16">
        <v>8007000</v>
      </c>
      <c r="FA17" s="16">
        <v>7759000</v>
      </c>
      <c r="FB17" s="16">
        <v>7007000</v>
      </c>
      <c r="FC17" s="357">
        <v>12074010</v>
      </c>
      <c r="FD17" s="357">
        <v>9515120</v>
      </c>
      <c r="FE17" s="357">
        <v>9724280</v>
      </c>
      <c r="FF17" s="359">
        <v>8736000</v>
      </c>
      <c r="FG17" s="16">
        <v>8778000</v>
      </c>
      <c r="FH17" s="13">
        <v>6852000</v>
      </c>
      <c r="FI17" s="16">
        <v>7548000</v>
      </c>
      <c r="FJ17" s="16">
        <v>7258000</v>
      </c>
      <c r="FK17" s="16">
        <v>6043000</v>
      </c>
      <c r="FL17" s="16">
        <v>5570000</v>
      </c>
      <c r="FM17" s="16">
        <v>8055000</v>
      </c>
      <c r="FN17" s="16">
        <v>6907000</v>
      </c>
      <c r="FO17" s="16">
        <v>9129000</v>
      </c>
      <c r="FP17" s="16">
        <v>9515000</v>
      </c>
      <c r="FQ17" s="16">
        <v>11223000</v>
      </c>
      <c r="FR17" s="16">
        <v>7864000</v>
      </c>
      <c r="FS17" s="16">
        <v>7108000</v>
      </c>
      <c r="FT17" s="13">
        <v>6708000</v>
      </c>
      <c r="FU17" s="16">
        <v>6557000</v>
      </c>
      <c r="FV17" s="16">
        <v>6541000</v>
      </c>
      <c r="FW17" s="16">
        <v>6437000</v>
      </c>
      <c r="FX17" s="16">
        <v>6486000</v>
      </c>
      <c r="FY17" s="16">
        <v>4692000</v>
      </c>
      <c r="FZ17" s="16">
        <v>6136000</v>
      </c>
      <c r="GA17" s="16">
        <v>7579000</v>
      </c>
      <c r="GB17" s="197">
        <v>9869000</v>
      </c>
      <c r="GC17" s="197">
        <v>12029000</v>
      </c>
      <c r="GD17" s="16">
        <v>8093000</v>
      </c>
      <c r="GE17" s="16">
        <v>7826000</v>
      </c>
      <c r="GF17" s="13">
        <v>6729000</v>
      </c>
      <c r="GG17" s="415">
        <v>8464000</v>
      </c>
    </row>
    <row r="18" spans="2:189" ht="14.25">
      <c r="B18" s="13">
        <v>9793000</v>
      </c>
      <c r="C18" s="16">
        <v>8954000</v>
      </c>
      <c r="D18" s="16">
        <v>8858000</v>
      </c>
      <c r="E18" s="16">
        <v>11487000</v>
      </c>
      <c r="F18" s="16">
        <v>10704000</v>
      </c>
      <c r="G18" s="16">
        <v>9574000</v>
      </c>
      <c r="H18" s="16">
        <v>8740000</v>
      </c>
      <c r="I18" s="16">
        <v>8140000</v>
      </c>
      <c r="J18" s="16">
        <v>7103000</v>
      </c>
      <c r="K18" s="16">
        <v>7518000</v>
      </c>
      <c r="L18" s="16">
        <v>7679000</v>
      </c>
      <c r="M18" s="16">
        <v>6799000</v>
      </c>
      <c r="N18" s="16">
        <v>9451000</v>
      </c>
      <c r="O18" s="16">
        <v>10208000</v>
      </c>
      <c r="P18" s="16">
        <v>8637000</v>
      </c>
      <c r="Q18" s="16">
        <v>9979000</v>
      </c>
      <c r="R18" s="16">
        <v>11567000</v>
      </c>
      <c r="S18" s="16">
        <v>9087000</v>
      </c>
      <c r="T18" s="16">
        <v>8976000</v>
      </c>
      <c r="U18" s="16">
        <v>7762000</v>
      </c>
      <c r="V18" s="16">
        <v>8338000</v>
      </c>
      <c r="W18" s="16">
        <v>6628000</v>
      </c>
      <c r="X18" s="16">
        <v>7830000</v>
      </c>
      <c r="Y18" s="16">
        <v>7441000</v>
      </c>
      <c r="Z18" s="16">
        <v>8003000</v>
      </c>
      <c r="AA18" s="16">
        <v>11906000</v>
      </c>
      <c r="AB18" s="16">
        <v>9428000</v>
      </c>
      <c r="AC18" s="16">
        <v>11973000</v>
      </c>
      <c r="AD18" s="16">
        <v>8517000</v>
      </c>
      <c r="AE18" s="16">
        <v>8807000</v>
      </c>
      <c r="AF18" s="16">
        <v>7308000</v>
      </c>
      <c r="AG18" s="16">
        <v>6919000</v>
      </c>
      <c r="AH18" s="16">
        <v>7566000</v>
      </c>
      <c r="AI18" s="16">
        <v>7624000</v>
      </c>
      <c r="AJ18" s="16">
        <v>6942000</v>
      </c>
      <c r="AK18" s="16">
        <v>6740000</v>
      </c>
      <c r="AL18" s="16">
        <v>7827000</v>
      </c>
      <c r="AM18" s="16">
        <v>7668000</v>
      </c>
      <c r="AN18" s="16">
        <v>7407000</v>
      </c>
      <c r="AO18" s="16">
        <v>10583000</v>
      </c>
      <c r="AP18" s="16">
        <v>9467000</v>
      </c>
      <c r="AQ18" s="16">
        <v>7038000</v>
      </c>
      <c r="AR18" s="16">
        <v>7020000</v>
      </c>
      <c r="AS18" s="16">
        <v>6248000</v>
      </c>
      <c r="AT18" s="13">
        <v>6294000</v>
      </c>
      <c r="AU18" s="16">
        <v>6028000</v>
      </c>
      <c r="AV18" s="16">
        <v>6334000</v>
      </c>
      <c r="AW18" s="16">
        <v>4809000</v>
      </c>
      <c r="AX18" s="16">
        <v>6588000</v>
      </c>
      <c r="AY18" s="16">
        <v>5907000</v>
      </c>
      <c r="AZ18" s="16">
        <v>7363000</v>
      </c>
      <c r="BA18" s="16">
        <v>8993000</v>
      </c>
      <c r="BB18" s="16">
        <v>7729000</v>
      </c>
      <c r="BC18" s="16">
        <v>7019000</v>
      </c>
      <c r="BD18" s="13">
        <v>8050000</v>
      </c>
      <c r="BE18" s="16">
        <v>6994000</v>
      </c>
      <c r="BF18" s="16">
        <v>6345000</v>
      </c>
      <c r="BG18" s="16">
        <v>7249000</v>
      </c>
      <c r="BH18" s="16">
        <v>6321951</v>
      </c>
      <c r="BI18" s="16">
        <v>6375000</v>
      </c>
      <c r="BJ18" s="16">
        <v>6713000</v>
      </c>
      <c r="BK18" s="16">
        <v>7532000</v>
      </c>
      <c r="BL18" s="16">
        <v>12339000</v>
      </c>
      <c r="BM18" s="16">
        <v>8225000</v>
      </c>
      <c r="BN18" s="16">
        <v>9660000</v>
      </c>
      <c r="BO18" s="16">
        <v>8481000</v>
      </c>
      <c r="BP18" s="13">
        <v>7930000</v>
      </c>
      <c r="BQ18" s="16">
        <v>7595000</v>
      </c>
      <c r="BR18" s="16">
        <v>7108000</v>
      </c>
      <c r="BS18" s="16">
        <v>8109000</v>
      </c>
      <c r="BT18" s="16">
        <v>7932000</v>
      </c>
      <c r="BU18" s="16">
        <v>8279000</v>
      </c>
      <c r="BV18" s="16">
        <v>6922000</v>
      </c>
      <c r="BW18" s="16">
        <v>9186000</v>
      </c>
      <c r="BX18" s="16">
        <v>10246000</v>
      </c>
      <c r="BY18" s="16">
        <v>9802000</v>
      </c>
      <c r="BZ18" s="16">
        <v>11735000</v>
      </c>
      <c r="CA18" s="16">
        <v>10978000</v>
      </c>
      <c r="CB18" s="13">
        <v>9218000</v>
      </c>
      <c r="CC18" s="16">
        <v>7429000</v>
      </c>
      <c r="CD18" s="16">
        <v>7239000</v>
      </c>
      <c r="CE18" s="16">
        <v>6868000</v>
      </c>
      <c r="CF18" s="16">
        <v>7924000</v>
      </c>
      <c r="CG18" s="16">
        <v>8035000</v>
      </c>
      <c r="CH18" s="16">
        <v>7768000</v>
      </c>
      <c r="CI18" s="16">
        <v>15520000</v>
      </c>
      <c r="CJ18" s="16">
        <v>12042000</v>
      </c>
      <c r="CK18" s="16">
        <v>11519000</v>
      </c>
      <c r="CL18" s="16">
        <v>11001000</v>
      </c>
      <c r="CM18" s="16">
        <v>9859000</v>
      </c>
      <c r="CN18" s="13">
        <v>7524000</v>
      </c>
      <c r="CO18" s="16">
        <v>6175000</v>
      </c>
      <c r="CP18" s="16">
        <v>7377000</v>
      </c>
      <c r="CQ18" s="16">
        <v>7441000</v>
      </c>
      <c r="CR18" s="16">
        <v>7111000</v>
      </c>
      <c r="CS18" s="16">
        <v>7408000</v>
      </c>
      <c r="CT18" s="16">
        <v>8847000</v>
      </c>
      <c r="CU18" s="16">
        <v>10779000</v>
      </c>
      <c r="CV18" s="16">
        <v>11782000</v>
      </c>
      <c r="CW18" s="16">
        <v>14435000</v>
      </c>
      <c r="CX18" s="16">
        <v>10993000</v>
      </c>
      <c r="CY18" s="16">
        <v>10851000</v>
      </c>
      <c r="CZ18" s="13">
        <v>9778000</v>
      </c>
      <c r="DA18" s="16">
        <v>7277000</v>
      </c>
      <c r="DB18" s="16">
        <v>7198000</v>
      </c>
      <c r="DC18" s="16">
        <v>6780000</v>
      </c>
      <c r="DD18" s="16">
        <v>7308000</v>
      </c>
      <c r="DE18" s="22">
        <v>6724000</v>
      </c>
      <c r="DF18" s="16">
        <v>7609000</v>
      </c>
      <c r="DG18" s="16">
        <v>8764000</v>
      </c>
      <c r="DH18" s="16">
        <v>9397000</v>
      </c>
      <c r="DI18" s="16">
        <v>8130000</v>
      </c>
      <c r="DJ18" s="16">
        <v>11248000</v>
      </c>
      <c r="DK18" s="16">
        <v>10715000</v>
      </c>
      <c r="DL18" s="13">
        <v>7486000</v>
      </c>
      <c r="DM18" s="16">
        <v>6631000</v>
      </c>
      <c r="DN18" s="16">
        <v>6067000</v>
      </c>
      <c r="DO18" s="16">
        <v>7239000</v>
      </c>
      <c r="DP18" s="16">
        <v>6757000</v>
      </c>
      <c r="DQ18" s="16">
        <v>6259000</v>
      </c>
      <c r="DR18" s="16">
        <v>8487000</v>
      </c>
      <c r="DS18" s="16">
        <v>7943000</v>
      </c>
      <c r="DT18" s="16">
        <v>11612000</v>
      </c>
      <c r="DU18" s="16">
        <v>9257000</v>
      </c>
      <c r="DV18" s="16">
        <v>10229000</v>
      </c>
      <c r="DW18" s="16">
        <v>9566000</v>
      </c>
      <c r="DX18" s="13">
        <v>8568000</v>
      </c>
      <c r="DY18" s="16">
        <v>7055000</v>
      </c>
      <c r="DZ18" s="16">
        <v>5974000</v>
      </c>
      <c r="EA18" s="16">
        <v>8540000</v>
      </c>
      <c r="EB18" s="16">
        <v>6647000</v>
      </c>
      <c r="EC18" s="16">
        <v>6598000</v>
      </c>
      <c r="ED18" s="16">
        <v>7986000</v>
      </c>
      <c r="EE18" s="16">
        <v>7212000</v>
      </c>
      <c r="EF18" s="16">
        <v>9395000</v>
      </c>
      <c r="EG18" s="16">
        <v>8648000</v>
      </c>
      <c r="EH18" s="16">
        <v>9801000</v>
      </c>
      <c r="EI18" s="16">
        <v>8133000</v>
      </c>
      <c r="EJ18" s="13">
        <v>7459000</v>
      </c>
      <c r="EK18" s="16">
        <v>7276000</v>
      </c>
      <c r="EL18" s="16">
        <v>7782000</v>
      </c>
      <c r="EM18" s="16">
        <v>6658000</v>
      </c>
      <c r="EN18" s="16">
        <v>7252000</v>
      </c>
      <c r="EO18" s="16">
        <v>7567000</v>
      </c>
      <c r="EP18" s="16">
        <v>6773000</v>
      </c>
      <c r="EQ18" s="16">
        <v>7738000</v>
      </c>
      <c r="ER18" s="16">
        <v>12769000</v>
      </c>
      <c r="ES18" s="16">
        <v>13663000</v>
      </c>
      <c r="ET18" s="16">
        <v>11211000</v>
      </c>
      <c r="EU18" s="16">
        <v>10835000</v>
      </c>
      <c r="EV18" s="13">
        <v>10112000</v>
      </c>
      <c r="EW18" s="16">
        <v>8996000</v>
      </c>
      <c r="EX18" s="16">
        <v>10699000</v>
      </c>
      <c r="EY18" s="16">
        <v>7948000</v>
      </c>
      <c r="EZ18" s="16">
        <v>6845000</v>
      </c>
      <c r="FA18" s="16">
        <v>7773000</v>
      </c>
      <c r="FB18" s="16">
        <v>8487000</v>
      </c>
      <c r="FC18" s="357">
        <v>10811580</v>
      </c>
      <c r="FD18" s="357">
        <v>10274570</v>
      </c>
      <c r="FE18" s="357">
        <v>9986560</v>
      </c>
      <c r="FF18" s="359">
        <v>9186000</v>
      </c>
      <c r="FG18" s="16">
        <v>8006000</v>
      </c>
      <c r="FH18" s="13">
        <v>8736000</v>
      </c>
      <c r="FI18" s="16">
        <v>7867000</v>
      </c>
      <c r="FJ18" s="16">
        <v>5930000</v>
      </c>
      <c r="FK18" s="16">
        <v>6366000</v>
      </c>
      <c r="FL18" s="16">
        <v>5524000</v>
      </c>
      <c r="FM18" s="16">
        <v>7311000</v>
      </c>
      <c r="FN18" s="16">
        <v>6696000</v>
      </c>
      <c r="FO18" s="16">
        <v>9269000</v>
      </c>
      <c r="FP18" s="16">
        <v>11156000</v>
      </c>
      <c r="FQ18" s="16">
        <v>10921000</v>
      </c>
      <c r="FR18" s="16">
        <v>8932000</v>
      </c>
      <c r="FS18" s="16">
        <v>6594000</v>
      </c>
      <c r="FT18" s="13">
        <v>5516000</v>
      </c>
      <c r="FU18" s="16">
        <v>5999000</v>
      </c>
      <c r="FV18" s="16">
        <v>7159000</v>
      </c>
      <c r="FW18" s="16">
        <v>7565000</v>
      </c>
      <c r="FX18" s="16">
        <v>5596000</v>
      </c>
      <c r="FY18" s="16">
        <v>5048000</v>
      </c>
      <c r="FZ18" s="16">
        <v>5871000</v>
      </c>
      <c r="GA18" s="16">
        <v>7327000</v>
      </c>
      <c r="GB18" s="197">
        <v>10508000</v>
      </c>
      <c r="GC18" s="197">
        <v>11195000</v>
      </c>
      <c r="GD18" s="16">
        <v>8190000</v>
      </c>
      <c r="GE18" s="16">
        <v>7958000</v>
      </c>
      <c r="GF18" s="13">
        <v>5969000</v>
      </c>
      <c r="GG18" s="415">
        <v>5479000</v>
      </c>
    </row>
    <row r="19" spans="2:189" ht="14.25">
      <c r="B19" s="13">
        <v>9707000</v>
      </c>
      <c r="C19" s="16">
        <v>9752000</v>
      </c>
      <c r="D19" s="16">
        <v>10094000</v>
      </c>
      <c r="E19" s="16">
        <v>8888000</v>
      </c>
      <c r="F19" s="16">
        <v>10953000</v>
      </c>
      <c r="G19" s="16">
        <v>9453000</v>
      </c>
      <c r="H19" s="16">
        <v>8553000</v>
      </c>
      <c r="I19" s="16">
        <v>8884000</v>
      </c>
      <c r="J19" s="16">
        <v>8359000</v>
      </c>
      <c r="K19" s="16">
        <v>6955000</v>
      </c>
      <c r="L19" s="16">
        <v>7927000</v>
      </c>
      <c r="M19" s="16">
        <v>7865000</v>
      </c>
      <c r="N19" s="16">
        <v>10103000</v>
      </c>
      <c r="O19" s="16">
        <v>8950000</v>
      </c>
      <c r="P19" s="16">
        <v>8773000</v>
      </c>
      <c r="Q19" s="16">
        <v>10290000</v>
      </c>
      <c r="R19" s="16">
        <v>11221000</v>
      </c>
      <c r="S19" s="16">
        <v>9251000</v>
      </c>
      <c r="T19" s="16">
        <v>7580000</v>
      </c>
      <c r="U19" s="16">
        <v>8044000</v>
      </c>
      <c r="V19" s="16">
        <v>7360000</v>
      </c>
      <c r="W19" s="16">
        <v>7668000</v>
      </c>
      <c r="X19" s="16">
        <v>7195000</v>
      </c>
      <c r="Y19" s="16">
        <v>7450000</v>
      </c>
      <c r="Z19" s="16">
        <v>8486000</v>
      </c>
      <c r="AA19" s="16">
        <v>10741000</v>
      </c>
      <c r="AB19" s="16">
        <v>10580000</v>
      </c>
      <c r="AC19" s="16">
        <v>10780000</v>
      </c>
      <c r="AD19" s="16">
        <v>9451000</v>
      </c>
      <c r="AE19" s="16">
        <v>8039000</v>
      </c>
      <c r="AF19" s="16">
        <v>7740000</v>
      </c>
      <c r="AG19" s="16">
        <v>7580000</v>
      </c>
      <c r="AH19" s="16">
        <v>7230000</v>
      </c>
      <c r="AI19" s="16">
        <v>6579000</v>
      </c>
      <c r="AJ19" s="16">
        <v>7671000</v>
      </c>
      <c r="AK19" s="16">
        <v>5968000</v>
      </c>
      <c r="AL19" s="16">
        <v>9139000</v>
      </c>
      <c r="AM19" s="16">
        <v>9001000</v>
      </c>
      <c r="AN19" s="16">
        <v>7030000</v>
      </c>
      <c r="AO19" s="16">
        <v>9595000</v>
      </c>
      <c r="AP19" s="16">
        <v>7336000</v>
      </c>
      <c r="AQ19" s="16">
        <v>8740000</v>
      </c>
      <c r="AR19" s="16">
        <v>6478000</v>
      </c>
      <c r="AS19" s="16">
        <v>6684000</v>
      </c>
      <c r="AT19" s="13">
        <v>6294000</v>
      </c>
      <c r="AU19" s="16">
        <v>5968000</v>
      </c>
      <c r="AV19" s="16">
        <v>5564000</v>
      </c>
      <c r="AW19" s="16">
        <v>4823000</v>
      </c>
      <c r="AX19" s="16">
        <v>9544000</v>
      </c>
      <c r="AY19" s="16">
        <v>9187000</v>
      </c>
      <c r="AZ19" s="16">
        <v>6537000</v>
      </c>
      <c r="BA19" s="16">
        <v>7815000</v>
      </c>
      <c r="BB19" s="16">
        <v>10298000</v>
      </c>
      <c r="BC19" s="16">
        <v>6880000</v>
      </c>
      <c r="BD19" s="13">
        <v>7373000</v>
      </c>
      <c r="BE19" s="16">
        <v>8677000</v>
      </c>
      <c r="BF19" s="16">
        <v>5258000</v>
      </c>
      <c r="BG19" s="16">
        <v>7839000</v>
      </c>
      <c r="BH19" s="16">
        <v>6726866</v>
      </c>
      <c r="BI19" s="16">
        <v>7117000</v>
      </c>
      <c r="BJ19" s="16">
        <v>7647000</v>
      </c>
      <c r="BK19" s="16">
        <v>9600000</v>
      </c>
      <c r="BL19" s="16">
        <v>7602000</v>
      </c>
      <c r="BM19" s="16">
        <v>9211000</v>
      </c>
      <c r="BN19" s="16">
        <v>8963000</v>
      </c>
      <c r="BO19" s="16">
        <v>8310000</v>
      </c>
      <c r="BP19" s="13">
        <v>8116000</v>
      </c>
      <c r="BQ19" s="16">
        <v>6028000</v>
      </c>
      <c r="BR19" s="16">
        <v>7357000</v>
      </c>
      <c r="BS19" s="16">
        <v>8151000</v>
      </c>
      <c r="BT19" s="16">
        <v>7677000</v>
      </c>
      <c r="BU19" s="16">
        <v>7514000</v>
      </c>
      <c r="BV19" s="16">
        <v>8254000</v>
      </c>
      <c r="BW19" s="16">
        <v>10328000</v>
      </c>
      <c r="BX19" s="16">
        <v>11403000</v>
      </c>
      <c r="BY19" s="16">
        <v>10342000</v>
      </c>
      <c r="BZ19" s="16">
        <v>10584000</v>
      </c>
      <c r="CA19" s="16">
        <v>9380000</v>
      </c>
      <c r="CB19" s="13">
        <v>7308000</v>
      </c>
      <c r="CC19" s="16">
        <v>7026000</v>
      </c>
      <c r="CD19" s="16">
        <v>6172000</v>
      </c>
      <c r="CE19" s="16">
        <v>7085000</v>
      </c>
      <c r="CF19" s="16">
        <v>8625000</v>
      </c>
      <c r="CG19" s="16">
        <v>7709000</v>
      </c>
      <c r="CH19" s="16">
        <v>7722000</v>
      </c>
      <c r="CI19" s="16">
        <v>13981000</v>
      </c>
      <c r="CJ19" s="16">
        <v>11757000</v>
      </c>
      <c r="CK19" s="16">
        <v>10800000</v>
      </c>
      <c r="CL19" s="16">
        <v>11707000</v>
      </c>
      <c r="CM19" s="16">
        <v>10471000</v>
      </c>
      <c r="CN19" s="13">
        <v>7081000</v>
      </c>
      <c r="CO19" s="16">
        <v>6814000</v>
      </c>
      <c r="CP19" s="16">
        <v>6565000</v>
      </c>
      <c r="CQ19" s="16">
        <v>7054000</v>
      </c>
      <c r="CR19" s="16">
        <v>9333000</v>
      </c>
      <c r="CS19" s="16">
        <v>7708000</v>
      </c>
      <c r="CT19" s="16">
        <v>9275000</v>
      </c>
      <c r="CU19" s="16">
        <v>10975000</v>
      </c>
      <c r="CV19" s="16">
        <v>11297000</v>
      </c>
      <c r="CW19" s="16">
        <v>12641000</v>
      </c>
      <c r="CX19" s="16">
        <v>10996000</v>
      </c>
      <c r="CY19" s="16">
        <v>8906000</v>
      </c>
      <c r="CZ19" s="13">
        <v>8174000</v>
      </c>
      <c r="DA19" s="16">
        <v>7876000</v>
      </c>
      <c r="DB19" s="16">
        <v>6740000</v>
      </c>
      <c r="DC19" s="16">
        <v>6515000</v>
      </c>
      <c r="DD19" s="16">
        <v>6960000</v>
      </c>
      <c r="DE19" s="22">
        <v>6632000</v>
      </c>
      <c r="DF19" s="16">
        <v>8933000</v>
      </c>
      <c r="DG19" s="16">
        <v>8700000</v>
      </c>
      <c r="DH19" s="16">
        <v>9479000</v>
      </c>
      <c r="DI19" s="16">
        <v>8459000</v>
      </c>
      <c r="DJ19" s="16">
        <v>11255000</v>
      </c>
      <c r="DK19" s="16">
        <v>10070000</v>
      </c>
      <c r="DL19" s="13">
        <v>7512000</v>
      </c>
      <c r="DM19" s="16">
        <v>6829000</v>
      </c>
      <c r="DN19" s="16">
        <v>6342000</v>
      </c>
      <c r="DO19" s="16">
        <v>6841000</v>
      </c>
      <c r="DP19" s="16">
        <v>6476000</v>
      </c>
      <c r="DQ19" s="16">
        <v>7217000</v>
      </c>
      <c r="DR19" s="16">
        <v>7886000</v>
      </c>
      <c r="DS19" s="16">
        <v>7943000</v>
      </c>
      <c r="DT19" s="16">
        <v>10676000</v>
      </c>
      <c r="DU19" s="16">
        <v>8582000</v>
      </c>
      <c r="DV19" s="16">
        <v>10480000</v>
      </c>
      <c r="DW19" s="16">
        <v>10128000</v>
      </c>
      <c r="DX19" s="13">
        <v>8915000</v>
      </c>
      <c r="DY19" s="16">
        <v>8178000</v>
      </c>
      <c r="DZ19" s="16">
        <v>6080000</v>
      </c>
      <c r="EA19" s="16">
        <v>6653000</v>
      </c>
      <c r="EB19" s="16">
        <v>7717000</v>
      </c>
      <c r="EC19" s="16">
        <v>7095000</v>
      </c>
      <c r="ED19" s="16">
        <v>8026000</v>
      </c>
      <c r="EE19" s="16">
        <v>8315000</v>
      </c>
      <c r="EF19" s="16">
        <v>8799000</v>
      </c>
      <c r="EG19" s="16">
        <v>9201000</v>
      </c>
      <c r="EH19" s="16">
        <v>10986000</v>
      </c>
      <c r="EI19" s="16">
        <v>7688000</v>
      </c>
      <c r="EJ19" s="13">
        <v>7655000</v>
      </c>
      <c r="EK19" s="16">
        <v>6328000</v>
      </c>
      <c r="EL19" s="16">
        <v>7010000</v>
      </c>
      <c r="EM19" s="16">
        <v>6180000</v>
      </c>
      <c r="EN19" s="16">
        <v>6658000</v>
      </c>
      <c r="EO19" s="16">
        <v>6965000</v>
      </c>
      <c r="EP19" s="16">
        <v>6812000</v>
      </c>
      <c r="EQ19" s="16">
        <v>9766000</v>
      </c>
      <c r="ER19" s="16">
        <v>12131000</v>
      </c>
      <c r="ES19" s="16">
        <v>13016000</v>
      </c>
      <c r="ET19" s="16">
        <v>11505000</v>
      </c>
      <c r="EU19" s="16">
        <v>9531000</v>
      </c>
      <c r="EV19" s="13">
        <v>8483000</v>
      </c>
      <c r="EW19" s="16">
        <v>8364000</v>
      </c>
      <c r="EX19" s="16">
        <v>9811000</v>
      </c>
      <c r="EY19" s="16">
        <v>6995000</v>
      </c>
      <c r="EZ19" s="16">
        <v>7369000</v>
      </c>
      <c r="FA19" s="16">
        <v>7606000</v>
      </c>
      <c r="FB19" s="16">
        <v>7335000</v>
      </c>
      <c r="FC19" s="357">
        <v>11730390</v>
      </c>
      <c r="FD19" s="357">
        <v>9415520</v>
      </c>
      <c r="FE19" s="357">
        <v>12148710</v>
      </c>
      <c r="FF19" s="359">
        <v>9934000</v>
      </c>
      <c r="FG19" s="16">
        <v>6852000</v>
      </c>
      <c r="FH19" s="13">
        <v>6510000</v>
      </c>
      <c r="FI19" s="16">
        <v>7452000</v>
      </c>
      <c r="FJ19" s="16">
        <v>6443000</v>
      </c>
      <c r="FK19" s="16">
        <v>5902000</v>
      </c>
      <c r="FL19" s="16">
        <v>5843000</v>
      </c>
      <c r="FM19" s="16">
        <v>5853000</v>
      </c>
      <c r="FN19" s="16">
        <v>7049000</v>
      </c>
      <c r="FO19" s="16">
        <v>9620000</v>
      </c>
      <c r="FP19" s="16">
        <v>10124000</v>
      </c>
      <c r="FQ19" s="16">
        <v>10544000</v>
      </c>
      <c r="FR19" s="16">
        <v>10078000</v>
      </c>
      <c r="FS19" s="16">
        <v>8271000</v>
      </c>
      <c r="FT19" s="13">
        <v>6311000</v>
      </c>
      <c r="FU19" s="16">
        <v>4972000</v>
      </c>
      <c r="FV19" s="16">
        <v>4577000</v>
      </c>
      <c r="FW19" s="16">
        <v>7607000</v>
      </c>
      <c r="FX19" s="16">
        <v>5690000</v>
      </c>
      <c r="FY19" s="16">
        <v>6048000</v>
      </c>
      <c r="FZ19" s="16">
        <v>5907000</v>
      </c>
      <c r="GA19" s="16">
        <v>7723000</v>
      </c>
      <c r="GB19" s="197">
        <v>10197000</v>
      </c>
      <c r="GC19" s="197">
        <v>9976000</v>
      </c>
      <c r="GD19" s="16">
        <v>7670000</v>
      </c>
      <c r="GE19" s="16">
        <v>6893000</v>
      </c>
      <c r="GF19" s="13">
        <v>5818000</v>
      </c>
      <c r="GG19" s="415">
        <v>9055000</v>
      </c>
    </row>
    <row r="20" spans="2:189" ht="14.25">
      <c r="B20" s="13">
        <v>8809000</v>
      </c>
      <c r="C20" s="16">
        <v>9218000</v>
      </c>
      <c r="D20" s="16">
        <v>10624000</v>
      </c>
      <c r="E20" s="16">
        <v>10020000</v>
      </c>
      <c r="F20" s="16">
        <v>10422000</v>
      </c>
      <c r="G20" s="16">
        <v>7743000</v>
      </c>
      <c r="H20" s="16">
        <v>8256000</v>
      </c>
      <c r="I20" s="16">
        <v>7744000</v>
      </c>
      <c r="J20" s="16">
        <v>8102000</v>
      </c>
      <c r="K20" s="16">
        <v>8063000</v>
      </c>
      <c r="L20" s="16">
        <v>7372000</v>
      </c>
      <c r="M20" s="16">
        <v>6515000</v>
      </c>
      <c r="N20" s="16">
        <v>11861000</v>
      </c>
      <c r="O20" s="16">
        <v>8821000</v>
      </c>
      <c r="P20" s="16">
        <v>9013000</v>
      </c>
      <c r="Q20" s="16">
        <v>9514000</v>
      </c>
      <c r="R20" s="16">
        <v>9813000</v>
      </c>
      <c r="S20" s="16">
        <v>8745000</v>
      </c>
      <c r="T20" s="16">
        <v>8450000</v>
      </c>
      <c r="U20" s="16">
        <v>6504000</v>
      </c>
      <c r="V20" s="16">
        <v>7924000</v>
      </c>
      <c r="W20" s="16">
        <v>7897000</v>
      </c>
      <c r="X20" s="16">
        <v>7467000</v>
      </c>
      <c r="Y20" s="16">
        <v>8143000</v>
      </c>
      <c r="Z20" s="16">
        <v>7986000</v>
      </c>
      <c r="AA20" s="16">
        <v>10770000</v>
      </c>
      <c r="AB20" s="16">
        <v>9647000</v>
      </c>
      <c r="AC20" s="16">
        <v>10272000</v>
      </c>
      <c r="AD20" s="16">
        <v>9946000</v>
      </c>
      <c r="AE20" s="16">
        <v>8206000</v>
      </c>
      <c r="AF20" s="16">
        <v>8035000</v>
      </c>
      <c r="AG20" s="16">
        <v>7287000</v>
      </c>
      <c r="AH20" s="16">
        <v>6780000</v>
      </c>
      <c r="AI20" s="16">
        <v>7515000</v>
      </c>
      <c r="AJ20" s="16">
        <v>6409000</v>
      </c>
      <c r="AK20" s="16">
        <v>7224000</v>
      </c>
      <c r="AL20" s="16">
        <v>9445000</v>
      </c>
      <c r="AM20" s="16">
        <v>9759000</v>
      </c>
      <c r="AN20" s="16">
        <v>7873000</v>
      </c>
      <c r="AO20" s="16">
        <v>10384000</v>
      </c>
      <c r="AP20" s="16">
        <v>10445000</v>
      </c>
      <c r="AQ20" s="16">
        <v>7283000</v>
      </c>
      <c r="AR20" s="16">
        <v>6056000</v>
      </c>
      <c r="AS20" s="16">
        <v>5914000</v>
      </c>
      <c r="AT20" s="13">
        <v>6294000</v>
      </c>
      <c r="AU20" s="16">
        <v>5888000</v>
      </c>
      <c r="AV20" s="16">
        <v>5319000</v>
      </c>
      <c r="AW20" s="16">
        <v>8193000</v>
      </c>
      <c r="AX20" s="16">
        <v>6236000</v>
      </c>
      <c r="AY20" s="16">
        <v>5726000</v>
      </c>
      <c r="AZ20" s="16">
        <v>11099000</v>
      </c>
      <c r="BA20" s="16">
        <v>7618000</v>
      </c>
      <c r="BB20" s="16">
        <v>6379000</v>
      </c>
      <c r="BC20" s="16">
        <v>6694000</v>
      </c>
      <c r="BD20" s="13">
        <v>6289000</v>
      </c>
      <c r="BE20" s="16">
        <v>7132000</v>
      </c>
      <c r="BF20" s="16">
        <v>7339000</v>
      </c>
      <c r="BG20" s="16">
        <v>8351000</v>
      </c>
      <c r="BH20" s="16">
        <v>6757498</v>
      </c>
      <c r="BI20" s="16">
        <v>6711000</v>
      </c>
      <c r="BJ20" s="16">
        <v>6906000</v>
      </c>
      <c r="BK20" s="16">
        <v>9900000</v>
      </c>
      <c r="BL20" s="16">
        <v>7439000</v>
      </c>
      <c r="BM20" s="16">
        <v>7141000</v>
      </c>
      <c r="BN20" s="16">
        <v>9267000</v>
      </c>
      <c r="BO20" s="16">
        <v>8494000</v>
      </c>
      <c r="BP20" s="13">
        <v>7578000</v>
      </c>
      <c r="BQ20" s="16">
        <v>6148000</v>
      </c>
      <c r="BR20" s="16">
        <v>7413000</v>
      </c>
      <c r="BS20" s="16">
        <v>8545000</v>
      </c>
      <c r="BT20" s="16">
        <v>8011000</v>
      </c>
      <c r="BU20" s="16">
        <v>7699000</v>
      </c>
      <c r="BV20" s="16">
        <v>6984000</v>
      </c>
      <c r="BW20" s="16">
        <v>9039000</v>
      </c>
      <c r="BX20" s="16">
        <v>11423000</v>
      </c>
      <c r="BY20" s="16">
        <v>10671000</v>
      </c>
      <c r="BZ20" s="16">
        <v>10981000</v>
      </c>
      <c r="CA20" s="16">
        <v>10824000</v>
      </c>
      <c r="CB20" s="13">
        <v>6382000</v>
      </c>
      <c r="CC20" s="16">
        <v>7332000</v>
      </c>
      <c r="CD20" s="16">
        <v>6058000</v>
      </c>
      <c r="CE20" s="16">
        <v>6737000</v>
      </c>
      <c r="CF20" s="16">
        <v>8274000</v>
      </c>
      <c r="CG20" s="16">
        <v>7527000</v>
      </c>
      <c r="CH20" s="16">
        <v>7739000</v>
      </c>
      <c r="CI20" s="16">
        <v>14610000</v>
      </c>
      <c r="CJ20" s="16">
        <v>10817000</v>
      </c>
      <c r="CK20" s="16">
        <v>11999000</v>
      </c>
      <c r="CL20" s="16">
        <v>11221000</v>
      </c>
      <c r="CM20" s="16">
        <v>10977000</v>
      </c>
      <c r="CN20" s="13">
        <v>8005000</v>
      </c>
      <c r="CO20" s="16">
        <v>6876000</v>
      </c>
      <c r="CP20" s="16">
        <v>6898000</v>
      </c>
      <c r="CQ20" s="16">
        <v>6910000</v>
      </c>
      <c r="CR20" s="16">
        <v>6747000</v>
      </c>
      <c r="CS20" s="16">
        <v>7386000</v>
      </c>
      <c r="CT20" s="16">
        <v>7090000</v>
      </c>
      <c r="CU20" s="16">
        <v>10950000</v>
      </c>
      <c r="CV20" s="16">
        <v>9979000</v>
      </c>
      <c r="CW20" s="16">
        <v>10803000</v>
      </c>
      <c r="CX20" s="16">
        <v>11103000</v>
      </c>
      <c r="CY20" s="16">
        <v>9653000</v>
      </c>
      <c r="CZ20" s="13">
        <v>6801000</v>
      </c>
      <c r="DA20" s="16">
        <v>8957000</v>
      </c>
      <c r="DB20" s="16">
        <v>7292000</v>
      </c>
      <c r="DC20" s="16">
        <v>6387000</v>
      </c>
      <c r="DD20" s="16">
        <v>7137000</v>
      </c>
      <c r="DE20" s="22">
        <v>7255000</v>
      </c>
      <c r="DF20" s="16">
        <v>7781000</v>
      </c>
      <c r="DG20" s="16">
        <v>8666000</v>
      </c>
      <c r="DH20" s="16">
        <v>10820000</v>
      </c>
      <c r="DI20" s="16">
        <v>9757000</v>
      </c>
      <c r="DJ20" s="16">
        <v>10898000</v>
      </c>
      <c r="DK20" s="16">
        <v>9848000</v>
      </c>
      <c r="DL20" s="13">
        <v>7390000</v>
      </c>
      <c r="DM20" s="16">
        <v>6212000</v>
      </c>
      <c r="DN20" s="16">
        <v>7699000</v>
      </c>
      <c r="DO20" s="16">
        <v>6729000</v>
      </c>
      <c r="DP20" s="16">
        <v>7138000</v>
      </c>
      <c r="DQ20" s="16">
        <v>6765000</v>
      </c>
      <c r="DR20" s="16">
        <v>7202000</v>
      </c>
      <c r="DS20" s="16">
        <v>7943000</v>
      </c>
      <c r="DT20" s="16">
        <v>10025000</v>
      </c>
      <c r="DU20" s="16">
        <v>9740000</v>
      </c>
      <c r="DV20" s="16">
        <v>10752000</v>
      </c>
      <c r="DW20" s="16">
        <v>8185000</v>
      </c>
      <c r="DX20" s="13">
        <v>8528000</v>
      </c>
      <c r="DY20" s="16">
        <v>7008000</v>
      </c>
      <c r="DZ20" s="16">
        <v>6406000</v>
      </c>
      <c r="EA20" s="16">
        <v>6532000</v>
      </c>
      <c r="EB20" s="16">
        <v>8510000</v>
      </c>
      <c r="EC20" s="16">
        <v>6383000</v>
      </c>
      <c r="ED20" s="16">
        <v>7900000</v>
      </c>
      <c r="EE20" s="16">
        <v>8636000</v>
      </c>
      <c r="EF20" s="16">
        <v>10017000</v>
      </c>
      <c r="EG20" s="16">
        <v>11544000</v>
      </c>
      <c r="EH20" s="16">
        <v>8101000</v>
      </c>
      <c r="EI20" s="16">
        <v>8095000</v>
      </c>
      <c r="EJ20" s="13">
        <v>7040000</v>
      </c>
      <c r="EK20" s="16">
        <v>7584000</v>
      </c>
      <c r="EL20" s="16">
        <v>6221000</v>
      </c>
      <c r="EM20" s="16">
        <v>6449000</v>
      </c>
      <c r="EN20" s="16">
        <v>5875000</v>
      </c>
      <c r="EO20" s="16">
        <v>7098000</v>
      </c>
      <c r="EP20" s="16">
        <v>6342000</v>
      </c>
      <c r="EQ20" s="16">
        <v>10167000</v>
      </c>
      <c r="ER20" s="16">
        <v>10038000</v>
      </c>
      <c r="ES20" s="16">
        <v>12020000</v>
      </c>
      <c r="ET20" s="16">
        <v>10893000</v>
      </c>
      <c r="EU20" s="16">
        <v>10890000</v>
      </c>
      <c r="EV20" s="13">
        <v>9499000</v>
      </c>
      <c r="EW20" s="16">
        <v>8119000</v>
      </c>
      <c r="EX20" s="16">
        <v>7512000</v>
      </c>
      <c r="EY20" s="16">
        <v>7195000</v>
      </c>
      <c r="EZ20" s="16">
        <v>7087000</v>
      </c>
      <c r="FA20" s="16">
        <v>7250000</v>
      </c>
      <c r="FB20" s="16">
        <v>7408000</v>
      </c>
      <c r="FC20" s="357">
        <v>10028890</v>
      </c>
      <c r="FD20" s="357">
        <v>9153240</v>
      </c>
      <c r="FE20" s="357">
        <v>11046470</v>
      </c>
      <c r="FF20" s="359">
        <v>9895000</v>
      </c>
      <c r="FG20" s="16">
        <v>6946000</v>
      </c>
      <c r="FH20" s="13">
        <v>6209000</v>
      </c>
      <c r="FI20" s="16">
        <v>7585000</v>
      </c>
      <c r="FJ20" s="16">
        <v>6660000</v>
      </c>
      <c r="FK20" s="16">
        <v>6047000</v>
      </c>
      <c r="FL20" s="16">
        <v>6312000</v>
      </c>
      <c r="FM20" s="16">
        <v>5586000</v>
      </c>
      <c r="FN20" s="16">
        <v>6287000</v>
      </c>
      <c r="FO20" s="16">
        <v>8572000</v>
      </c>
      <c r="FP20" s="16">
        <v>10994000</v>
      </c>
      <c r="FQ20" s="16">
        <v>11032000</v>
      </c>
      <c r="FR20" s="16">
        <v>9597000</v>
      </c>
      <c r="FS20" s="16">
        <v>8657000</v>
      </c>
      <c r="FT20" s="13">
        <v>6109000</v>
      </c>
      <c r="FU20" s="16">
        <v>7483000</v>
      </c>
      <c r="FV20" s="16">
        <v>4474000</v>
      </c>
      <c r="FW20" s="16">
        <v>7148000</v>
      </c>
      <c r="FX20" s="16">
        <v>5517000</v>
      </c>
      <c r="FY20" s="16">
        <v>7310000</v>
      </c>
      <c r="FZ20" s="16">
        <v>6128000</v>
      </c>
      <c r="GA20" s="16">
        <v>7298000</v>
      </c>
      <c r="GB20" s="197">
        <v>8712000</v>
      </c>
      <c r="GC20" s="197">
        <v>9914000</v>
      </c>
      <c r="GD20" s="16">
        <v>10270000</v>
      </c>
      <c r="GE20" s="16">
        <v>7742000</v>
      </c>
      <c r="GF20" s="13">
        <v>7098000</v>
      </c>
      <c r="GG20" s="415">
        <v>8584000</v>
      </c>
    </row>
    <row r="21" spans="2:189" ht="14.25">
      <c r="B21" s="13">
        <v>8793000</v>
      </c>
      <c r="C21" s="16">
        <v>9978000</v>
      </c>
      <c r="D21" s="16">
        <v>10440000</v>
      </c>
      <c r="E21" s="16">
        <v>9663000</v>
      </c>
      <c r="F21" s="16">
        <v>10305000</v>
      </c>
      <c r="G21" s="16">
        <v>7299000</v>
      </c>
      <c r="H21" s="16">
        <v>9264000</v>
      </c>
      <c r="I21" s="16">
        <v>7537000</v>
      </c>
      <c r="J21" s="16">
        <v>7686000</v>
      </c>
      <c r="K21" s="16">
        <v>7905000</v>
      </c>
      <c r="L21" s="16">
        <v>6766000</v>
      </c>
      <c r="M21" s="16">
        <v>8320000</v>
      </c>
      <c r="N21" s="16">
        <v>8568000</v>
      </c>
      <c r="O21" s="16">
        <v>8660000</v>
      </c>
      <c r="P21" s="16">
        <v>8318000</v>
      </c>
      <c r="Q21" s="16">
        <v>9036000</v>
      </c>
      <c r="R21" s="16">
        <v>7437000</v>
      </c>
      <c r="S21" s="16">
        <v>8254000</v>
      </c>
      <c r="T21" s="16">
        <v>8382000</v>
      </c>
      <c r="U21" s="16">
        <v>8613000</v>
      </c>
      <c r="V21" s="16">
        <v>7256000</v>
      </c>
      <c r="W21" s="16">
        <v>10249000</v>
      </c>
      <c r="X21" s="16">
        <v>7517000</v>
      </c>
      <c r="Y21" s="16">
        <v>7504000</v>
      </c>
      <c r="Z21" s="16">
        <v>8123000</v>
      </c>
      <c r="AA21" s="16">
        <v>11042000</v>
      </c>
      <c r="AB21" s="16">
        <v>11111000</v>
      </c>
      <c r="AC21" s="16">
        <v>12079000</v>
      </c>
      <c r="AD21" s="16">
        <v>9974000</v>
      </c>
      <c r="AE21" s="16">
        <v>7930000</v>
      </c>
      <c r="AF21" s="16">
        <v>7219000</v>
      </c>
      <c r="AG21" s="16">
        <v>6539000</v>
      </c>
      <c r="AH21" s="16">
        <v>7040000</v>
      </c>
      <c r="AI21" s="16">
        <v>6504000</v>
      </c>
      <c r="AJ21" s="16">
        <v>7616000</v>
      </c>
      <c r="AK21" s="16">
        <v>7327000</v>
      </c>
      <c r="AL21" s="16">
        <v>8942000</v>
      </c>
      <c r="AM21" s="16">
        <v>10182000</v>
      </c>
      <c r="AN21" s="16">
        <v>9064000</v>
      </c>
      <c r="AO21" s="16">
        <v>9466000</v>
      </c>
      <c r="AP21" s="16">
        <v>6696000</v>
      </c>
      <c r="AQ21" s="16">
        <v>6088000</v>
      </c>
      <c r="AR21" s="16">
        <v>6306000</v>
      </c>
      <c r="AS21" s="16">
        <v>5572000</v>
      </c>
      <c r="AT21" s="13">
        <v>6294000</v>
      </c>
      <c r="AU21" s="16">
        <v>6003000</v>
      </c>
      <c r="AV21" s="16">
        <v>5772000</v>
      </c>
      <c r="AW21" s="16">
        <v>5082000</v>
      </c>
      <c r="AX21" s="16">
        <v>5037000</v>
      </c>
      <c r="AY21" s="16">
        <v>7095000</v>
      </c>
      <c r="AZ21" s="16">
        <v>9890000</v>
      </c>
      <c r="BA21" s="16">
        <v>6665000</v>
      </c>
      <c r="BB21" s="16">
        <v>9628000</v>
      </c>
      <c r="BC21" s="16">
        <v>6053000</v>
      </c>
      <c r="BD21" s="13">
        <v>10791000</v>
      </c>
      <c r="BE21" s="16">
        <v>6492000</v>
      </c>
      <c r="BF21" s="16">
        <v>5781000</v>
      </c>
      <c r="BG21" s="16">
        <v>7723000</v>
      </c>
      <c r="BH21" s="16">
        <v>7290358</v>
      </c>
      <c r="BI21" s="16">
        <v>7067000</v>
      </c>
      <c r="BJ21" s="16">
        <v>7258000</v>
      </c>
      <c r="BK21" s="16">
        <v>8439000</v>
      </c>
      <c r="BL21" s="16">
        <v>8908000</v>
      </c>
      <c r="BM21" s="16">
        <v>9472000</v>
      </c>
      <c r="BN21" s="16">
        <v>9789000</v>
      </c>
      <c r="BO21" s="16">
        <v>7759000</v>
      </c>
      <c r="BP21" s="13">
        <v>8337000</v>
      </c>
      <c r="BQ21" s="16">
        <v>7256000</v>
      </c>
      <c r="BR21" s="16">
        <v>7423000</v>
      </c>
      <c r="BS21" s="16">
        <v>8495000</v>
      </c>
      <c r="BT21" s="16">
        <v>8078000</v>
      </c>
      <c r="BU21" s="16">
        <v>8962000</v>
      </c>
      <c r="BV21" s="16">
        <v>7384000</v>
      </c>
      <c r="BW21" s="16">
        <v>10744000</v>
      </c>
      <c r="BX21" s="16">
        <v>11892000</v>
      </c>
      <c r="BY21" s="16">
        <v>11052000</v>
      </c>
      <c r="BZ21" s="16">
        <v>10814000</v>
      </c>
      <c r="CA21" s="16">
        <v>10939000</v>
      </c>
      <c r="CB21" s="13">
        <v>7906000</v>
      </c>
      <c r="CC21" s="16">
        <v>7806000</v>
      </c>
      <c r="CD21" s="16">
        <v>6495000</v>
      </c>
      <c r="CE21" s="16">
        <v>7271000</v>
      </c>
      <c r="CF21" s="16">
        <v>7555000</v>
      </c>
      <c r="CG21" s="16">
        <v>8175000</v>
      </c>
      <c r="CH21" s="16">
        <v>7414000</v>
      </c>
      <c r="CI21" s="16">
        <v>14122000</v>
      </c>
      <c r="CJ21" s="16">
        <v>9514000</v>
      </c>
      <c r="CK21" s="16">
        <v>12044000</v>
      </c>
      <c r="CL21" s="16">
        <v>10909000</v>
      </c>
      <c r="CM21" s="16">
        <v>9150000</v>
      </c>
      <c r="CN21" s="13">
        <v>8632000</v>
      </c>
      <c r="CO21" s="16">
        <v>7817000</v>
      </c>
      <c r="CP21" s="16">
        <v>7082000</v>
      </c>
      <c r="CQ21" s="16">
        <v>6747000</v>
      </c>
      <c r="CR21" s="16">
        <v>6463000</v>
      </c>
      <c r="CS21" s="16">
        <v>7307000</v>
      </c>
      <c r="CT21" s="16">
        <v>8040000</v>
      </c>
      <c r="CU21" s="16">
        <v>11485000</v>
      </c>
      <c r="CV21" s="16">
        <v>9707000</v>
      </c>
      <c r="CW21" s="16">
        <v>11078000</v>
      </c>
      <c r="CX21" s="16">
        <v>10646000</v>
      </c>
      <c r="CY21" s="16">
        <v>9895000</v>
      </c>
      <c r="CZ21" s="13">
        <v>7625000</v>
      </c>
      <c r="DA21" s="16">
        <v>7360000</v>
      </c>
      <c r="DB21" s="16">
        <v>7543000</v>
      </c>
      <c r="DC21" s="16">
        <v>6784000</v>
      </c>
      <c r="DD21" s="16">
        <v>7519000</v>
      </c>
      <c r="DE21" s="22">
        <v>6720000</v>
      </c>
      <c r="DF21" s="16">
        <v>7098000</v>
      </c>
      <c r="DG21" s="16">
        <v>8103000</v>
      </c>
      <c r="DH21" s="16">
        <v>8674000</v>
      </c>
      <c r="DI21" s="16">
        <v>9303000</v>
      </c>
      <c r="DJ21" s="16">
        <v>10917000</v>
      </c>
      <c r="DK21" s="16">
        <v>8477000</v>
      </c>
      <c r="DL21" s="13">
        <v>8064000</v>
      </c>
      <c r="DM21" s="16">
        <v>7269000</v>
      </c>
      <c r="DN21" s="16">
        <v>6804000</v>
      </c>
      <c r="DO21" s="16">
        <v>9357000</v>
      </c>
      <c r="DP21" s="16">
        <v>7199000</v>
      </c>
      <c r="DQ21" s="16">
        <v>7068000</v>
      </c>
      <c r="DR21" s="16">
        <v>7568000</v>
      </c>
      <c r="DS21" s="16">
        <v>7943000</v>
      </c>
      <c r="DT21" s="16">
        <v>8833000</v>
      </c>
      <c r="DU21" s="16">
        <v>10180000</v>
      </c>
      <c r="DV21" s="16">
        <v>11521000</v>
      </c>
      <c r="DW21" s="16">
        <v>8489000</v>
      </c>
      <c r="DX21" s="13">
        <v>6799000</v>
      </c>
      <c r="DY21" s="16">
        <v>6910000</v>
      </c>
      <c r="DZ21" s="16">
        <v>6958000</v>
      </c>
      <c r="EA21" s="16">
        <v>7245000</v>
      </c>
      <c r="EB21" s="16">
        <v>7543000</v>
      </c>
      <c r="EC21" s="16">
        <v>7305000</v>
      </c>
      <c r="ED21" s="16">
        <v>7896000</v>
      </c>
      <c r="EE21" s="16">
        <v>8620000</v>
      </c>
      <c r="EF21" s="16">
        <v>9272000</v>
      </c>
      <c r="EG21" s="16">
        <v>10737000</v>
      </c>
      <c r="EH21" s="16">
        <v>8704000</v>
      </c>
      <c r="EI21" s="16">
        <v>8826000</v>
      </c>
      <c r="EJ21" s="13">
        <v>6091000</v>
      </c>
      <c r="EK21" s="16">
        <v>6838000</v>
      </c>
      <c r="EL21" s="16">
        <v>7336000</v>
      </c>
      <c r="EM21" s="16">
        <v>6187000</v>
      </c>
      <c r="EN21" s="16">
        <v>6684000</v>
      </c>
      <c r="EO21" s="16">
        <v>6610000</v>
      </c>
      <c r="EP21" s="16">
        <v>6712000</v>
      </c>
      <c r="EQ21" s="16">
        <v>8257000</v>
      </c>
      <c r="ER21" s="16">
        <v>13194000</v>
      </c>
      <c r="ES21" s="16">
        <v>12132000</v>
      </c>
      <c r="ET21" s="16">
        <v>9540000</v>
      </c>
      <c r="EU21" s="16">
        <v>9752000</v>
      </c>
      <c r="EV21" s="13">
        <v>8490000</v>
      </c>
      <c r="EW21" s="16">
        <v>9105000</v>
      </c>
      <c r="EX21" s="16">
        <v>6839000</v>
      </c>
      <c r="EY21" s="16">
        <v>7516000</v>
      </c>
      <c r="EZ21" s="16">
        <v>7053000</v>
      </c>
      <c r="FA21" s="16">
        <v>7391000</v>
      </c>
      <c r="FB21" s="16">
        <v>7178000</v>
      </c>
      <c r="FC21" s="357">
        <v>10736880</v>
      </c>
      <c r="FD21" s="357">
        <v>10109400</v>
      </c>
      <c r="FE21" s="357">
        <v>9412200</v>
      </c>
      <c r="FF21" s="359">
        <v>9231000</v>
      </c>
      <c r="FG21" s="16">
        <v>7263000</v>
      </c>
      <c r="FH21" s="13">
        <v>6606000</v>
      </c>
      <c r="FI21" s="16">
        <v>8384000</v>
      </c>
      <c r="FJ21" s="16">
        <v>6391000</v>
      </c>
      <c r="FK21" s="16">
        <v>5979000</v>
      </c>
      <c r="FL21" s="16">
        <v>5513000</v>
      </c>
      <c r="FM21" s="16">
        <v>5645000</v>
      </c>
      <c r="FN21" s="16">
        <v>6811000</v>
      </c>
      <c r="FO21" s="16">
        <v>8996000</v>
      </c>
      <c r="FP21" s="16">
        <v>9475000</v>
      </c>
      <c r="FQ21" s="16">
        <v>11153000</v>
      </c>
      <c r="FR21" s="16">
        <v>6881000</v>
      </c>
      <c r="FS21" s="16">
        <v>7483000</v>
      </c>
      <c r="FT21" s="13">
        <v>6134000</v>
      </c>
      <c r="FU21" s="16">
        <v>5587000</v>
      </c>
      <c r="FV21" s="16">
        <v>5047000</v>
      </c>
      <c r="FW21" s="16">
        <v>6108000</v>
      </c>
      <c r="FX21" s="16">
        <v>6168000</v>
      </c>
      <c r="FY21" s="16">
        <v>5750000</v>
      </c>
      <c r="FZ21" s="16">
        <v>8034000</v>
      </c>
      <c r="GA21" s="16">
        <v>9010000</v>
      </c>
      <c r="GB21" s="197">
        <v>9331000</v>
      </c>
      <c r="GC21" s="197">
        <v>9648000</v>
      </c>
      <c r="GD21" s="16">
        <v>8564000</v>
      </c>
      <c r="GE21" s="16">
        <v>7925000</v>
      </c>
      <c r="GF21" s="13">
        <v>7466000</v>
      </c>
      <c r="GG21" s="415">
        <v>6003000</v>
      </c>
    </row>
    <row r="22" spans="2:189" ht="14.25">
      <c r="B22" s="13">
        <v>8591000</v>
      </c>
      <c r="C22" s="16">
        <v>10889000</v>
      </c>
      <c r="D22" s="16">
        <v>12224000</v>
      </c>
      <c r="E22" s="16">
        <v>9556000</v>
      </c>
      <c r="F22" s="16">
        <v>11440000</v>
      </c>
      <c r="G22" s="16">
        <v>8635000</v>
      </c>
      <c r="H22" s="16">
        <v>8319000</v>
      </c>
      <c r="I22" s="16">
        <v>7548000</v>
      </c>
      <c r="J22" s="16">
        <v>7444000</v>
      </c>
      <c r="K22" s="16">
        <v>7782000</v>
      </c>
      <c r="L22" s="16">
        <v>7486000</v>
      </c>
      <c r="M22" s="16">
        <v>9031000</v>
      </c>
      <c r="N22" s="16">
        <v>8606000</v>
      </c>
      <c r="O22" s="16">
        <v>8798000</v>
      </c>
      <c r="P22" s="16">
        <v>8578000</v>
      </c>
      <c r="Q22" s="16">
        <v>8469000</v>
      </c>
      <c r="R22" s="16">
        <v>7993000</v>
      </c>
      <c r="S22" s="16">
        <v>8863000</v>
      </c>
      <c r="T22" s="16">
        <v>7886000</v>
      </c>
      <c r="U22" s="16">
        <v>6930000</v>
      </c>
      <c r="V22" s="16">
        <v>8346000</v>
      </c>
      <c r="W22" s="16">
        <v>10377000</v>
      </c>
      <c r="X22" s="16">
        <v>7999000</v>
      </c>
      <c r="Y22" s="16">
        <v>7440000</v>
      </c>
      <c r="Z22" s="16">
        <v>8088000</v>
      </c>
      <c r="AA22" s="16">
        <v>10253000</v>
      </c>
      <c r="AB22" s="16">
        <v>11923000</v>
      </c>
      <c r="AC22" s="16">
        <v>11857000</v>
      </c>
      <c r="AD22" s="16">
        <v>10903000</v>
      </c>
      <c r="AE22" s="16">
        <v>8337000</v>
      </c>
      <c r="AF22" s="16">
        <v>7254000</v>
      </c>
      <c r="AG22" s="16">
        <v>7386000</v>
      </c>
      <c r="AH22" s="16">
        <v>7684000</v>
      </c>
      <c r="AI22" s="16">
        <v>7670000</v>
      </c>
      <c r="AJ22" s="16">
        <v>6574000</v>
      </c>
      <c r="AK22" s="16">
        <v>5848000</v>
      </c>
      <c r="AL22" s="16">
        <v>7323000</v>
      </c>
      <c r="AM22" s="16">
        <v>9797000</v>
      </c>
      <c r="AN22" s="16">
        <v>9699000</v>
      </c>
      <c r="AO22" s="16">
        <v>11329000</v>
      </c>
      <c r="AP22" s="16">
        <v>5804000</v>
      </c>
      <c r="AQ22" s="16">
        <v>8041000</v>
      </c>
      <c r="AR22" s="16">
        <v>5916000</v>
      </c>
      <c r="AS22" s="16">
        <v>6237000</v>
      </c>
      <c r="AT22" s="13">
        <v>6294000</v>
      </c>
      <c r="AU22" s="16">
        <v>5337000</v>
      </c>
      <c r="AV22" s="16">
        <v>6285000</v>
      </c>
      <c r="AW22" s="16">
        <v>4519000</v>
      </c>
      <c r="AX22" s="16">
        <v>5397000</v>
      </c>
      <c r="AY22" s="16">
        <v>9342000</v>
      </c>
      <c r="AZ22" s="16">
        <v>5239000</v>
      </c>
      <c r="BA22" s="16">
        <v>7923000</v>
      </c>
      <c r="BB22" s="16">
        <v>8058000</v>
      </c>
      <c r="BC22" s="16">
        <v>6759000</v>
      </c>
      <c r="BD22" s="13">
        <v>9079000</v>
      </c>
      <c r="BE22" s="16">
        <v>6625000</v>
      </c>
      <c r="BF22" s="16">
        <v>6555000</v>
      </c>
      <c r="BG22" s="16">
        <v>8515000</v>
      </c>
      <c r="BH22" s="16">
        <v>6231022</v>
      </c>
      <c r="BI22" s="16">
        <v>6928000</v>
      </c>
      <c r="BJ22" s="16">
        <v>8667000</v>
      </c>
      <c r="BK22" s="16">
        <v>9810000</v>
      </c>
      <c r="BL22" s="16">
        <v>8798000</v>
      </c>
      <c r="BM22" s="16">
        <v>10975000</v>
      </c>
      <c r="BN22" s="16">
        <v>8672000</v>
      </c>
      <c r="BO22" s="16">
        <v>8961000</v>
      </c>
      <c r="BP22" s="13">
        <v>7756000</v>
      </c>
      <c r="BQ22" s="16">
        <v>7846000</v>
      </c>
      <c r="BR22" s="16">
        <v>8219000</v>
      </c>
      <c r="BS22" s="16">
        <v>8199000</v>
      </c>
      <c r="BT22" s="16">
        <v>7776000</v>
      </c>
      <c r="BU22" s="16">
        <v>7240000</v>
      </c>
      <c r="BV22" s="16">
        <v>7734000</v>
      </c>
      <c r="BW22" s="16">
        <v>8715000</v>
      </c>
      <c r="BX22" s="16">
        <v>13136000</v>
      </c>
      <c r="BY22" s="16">
        <v>9516000</v>
      </c>
      <c r="BZ22" s="16">
        <v>8599000</v>
      </c>
      <c r="CA22" s="16">
        <v>10548000</v>
      </c>
      <c r="CB22" s="13">
        <v>7160000</v>
      </c>
      <c r="CC22" s="16">
        <v>6500000</v>
      </c>
      <c r="CD22" s="16">
        <v>6658000</v>
      </c>
      <c r="CE22" s="16">
        <v>7060000</v>
      </c>
      <c r="CF22" s="16">
        <v>7362000</v>
      </c>
      <c r="CG22" s="16">
        <v>7138000</v>
      </c>
      <c r="CH22" s="16">
        <v>8061000</v>
      </c>
      <c r="CI22" s="16">
        <v>12381000</v>
      </c>
      <c r="CJ22" s="16">
        <v>10425000</v>
      </c>
      <c r="CK22" s="16">
        <v>11418000</v>
      </c>
      <c r="CL22" s="16">
        <v>10316000</v>
      </c>
      <c r="CM22" s="16">
        <v>9901000</v>
      </c>
      <c r="CN22" s="13">
        <v>8811000</v>
      </c>
      <c r="CO22" s="16">
        <v>6645000</v>
      </c>
      <c r="CP22" s="16">
        <v>6313000</v>
      </c>
      <c r="CQ22" s="16">
        <v>7345000</v>
      </c>
      <c r="CR22" s="16">
        <v>6758000</v>
      </c>
      <c r="CS22" s="16">
        <v>6450000</v>
      </c>
      <c r="CT22" s="16">
        <v>8066000</v>
      </c>
      <c r="CU22" s="16">
        <v>7738000</v>
      </c>
      <c r="CV22" s="16">
        <v>10717000</v>
      </c>
      <c r="CW22" s="16">
        <v>10261000</v>
      </c>
      <c r="CX22" s="16">
        <v>11202000</v>
      </c>
      <c r="CY22" s="13">
        <v>8679000</v>
      </c>
      <c r="CZ22" s="13">
        <v>8602000</v>
      </c>
      <c r="DA22" s="16">
        <v>6794000</v>
      </c>
      <c r="DB22" s="16">
        <v>7191000</v>
      </c>
      <c r="DC22" s="16">
        <v>6800000</v>
      </c>
      <c r="DD22" s="16">
        <v>7464000</v>
      </c>
      <c r="DE22" s="22">
        <v>6953000</v>
      </c>
      <c r="DF22" s="16">
        <v>7395000</v>
      </c>
      <c r="DG22" s="16">
        <v>7259000</v>
      </c>
      <c r="DH22" s="16">
        <v>9560000</v>
      </c>
      <c r="DI22" s="16">
        <v>10099000</v>
      </c>
      <c r="DJ22" s="16">
        <v>11190000</v>
      </c>
      <c r="DK22" s="16">
        <v>9202000</v>
      </c>
      <c r="DL22" s="13">
        <v>8455000</v>
      </c>
      <c r="DM22" s="16">
        <v>6980000</v>
      </c>
      <c r="DN22" s="16">
        <v>6598000</v>
      </c>
      <c r="DO22" s="16">
        <v>6546000</v>
      </c>
      <c r="DP22" s="16">
        <v>6277000</v>
      </c>
      <c r="DQ22" s="16">
        <v>6150000</v>
      </c>
      <c r="DR22" s="16">
        <v>6566000</v>
      </c>
      <c r="DS22" s="16">
        <v>7943000</v>
      </c>
      <c r="DT22" s="16">
        <v>10992000</v>
      </c>
      <c r="DU22" s="16">
        <v>8965000</v>
      </c>
      <c r="DV22" s="16">
        <v>11298000</v>
      </c>
      <c r="DW22" s="16">
        <v>8173000</v>
      </c>
      <c r="DX22" s="13">
        <v>7727000</v>
      </c>
      <c r="DY22" s="16">
        <v>7459000</v>
      </c>
      <c r="DZ22" s="16">
        <v>6585000</v>
      </c>
      <c r="EA22" s="16">
        <v>7354000</v>
      </c>
      <c r="EB22" s="16">
        <v>6069000</v>
      </c>
      <c r="EC22" s="16">
        <v>7829000</v>
      </c>
      <c r="ED22" s="16">
        <v>8201000</v>
      </c>
      <c r="EE22" s="16">
        <v>9180000</v>
      </c>
      <c r="EF22" s="16">
        <v>9330000</v>
      </c>
      <c r="EG22" s="16">
        <v>10217000</v>
      </c>
      <c r="EH22" s="16">
        <v>9316000</v>
      </c>
      <c r="EI22" s="16">
        <v>8460000</v>
      </c>
      <c r="EJ22" s="13">
        <v>6499000</v>
      </c>
      <c r="EK22" s="16">
        <v>6498000</v>
      </c>
      <c r="EL22" s="16">
        <v>7360000</v>
      </c>
      <c r="EM22" s="16">
        <v>6559000</v>
      </c>
      <c r="EN22" s="16">
        <v>6559000</v>
      </c>
      <c r="EO22" s="16">
        <v>6763000</v>
      </c>
      <c r="EP22" s="16">
        <v>6786000</v>
      </c>
      <c r="EQ22" s="16">
        <v>8203000</v>
      </c>
      <c r="ER22" s="16">
        <v>10889000</v>
      </c>
      <c r="ES22" s="16">
        <v>11366000</v>
      </c>
      <c r="ET22" s="16">
        <v>10051000</v>
      </c>
      <c r="EU22" s="16">
        <v>10699000</v>
      </c>
      <c r="EV22" s="13">
        <v>9694000</v>
      </c>
      <c r="EW22" s="16">
        <v>7888000</v>
      </c>
      <c r="EX22" s="16">
        <v>6929000</v>
      </c>
      <c r="EY22" s="16">
        <v>7500000</v>
      </c>
      <c r="EZ22" s="16">
        <v>7176000</v>
      </c>
      <c r="FA22" s="16">
        <v>6204000</v>
      </c>
      <c r="FB22" s="356">
        <v>7330560</v>
      </c>
      <c r="FC22" s="357">
        <v>6928840</v>
      </c>
      <c r="FD22" s="357">
        <v>11883110</v>
      </c>
      <c r="FE22" s="357">
        <v>10594120</v>
      </c>
      <c r="FF22" s="359">
        <v>8208000</v>
      </c>
      <c r="FG22" s="16">
        <v>7527000</v>
      </c>
      <c r="FH22" s="13">
        <v>6838000</v>
      </c>
      <c r="FI22" s="16">
        <v>7026000</v>
      </c>
      <c r="FJ22" s="16">
        <v>6881000</v>
      </c>
      <c r="FK22" s="16">
        <v>6465000</v>
      </c>
      <c r="FL22" s="16">
        <v>5245000</v>
      </c>
      <c r="FM22" s="16">
        <v>7891000</v>
      </c>
      <c r="FN22" s="16">
        <v>6419000</v>
      </c>
      <c r="FO22" s="16">
        <v>6897000</v>
      </c>
      <c r="FP22" s="16">
        <v>9289000</v>
      </c>
      <c r="FQ22" s="16">
        <v>10549000</v>
      </c>
      <c r="FR22" s="16">
        <v>8050000</v>
      </c>
      <c r="FS22" s="16">
        <v>8804000</v>
      </c>
      <c r="FT22" s="13">
        <v>6019000</v>
      </c>
      <c r="FU22" s="16">
        <v>5132000</v>
      </c>
      <c r="FV22" s="16">
        <v>5309000</v>
      </c>
      <c r="FW22" s="16">
        <v>5946000</v>
      </c>
      <c r="FX22" s="16">
        <v>5432000</v>
      </c>
      <c r="FY22" s="16">
        <v>6338000</v>
      </c>
      <c r="FZ22" s="16">
        <v>8744000</v>
      </c>
      <c r="GA22" s="16">
        <v>8297000</v>
      </c>
      <c r="GB22" s="197">
        <v>9695000</v>
      </c>
      <c r="GC22" s="197">
        <v>10643000</v>
      </c>
      <c r="GD22" s="16">
        <v>9350000</v>
      </c>
      <c r="GE22" s="16">
        <v>7939000</v>
      </c>
      <c r="GF22" s="13">
        <v>7272000</v>
      </c>
      <c r="GG22" s="415">
        <v>6933000</v>
      </c>
    </row>
    <row r="23" spans="2:189" ht="14.25">
      <c r="B23" s="13">
        <v>8380000</v>
      </c>
      <c r="C23" s="16">
        <v>10287000</v>
      </c>
      <c r="D23" s="16">
        <v>10376000</v>
      </c>
      <c r="E23" s="16">
        <v>9417000</v>
      </c>
      <c r="F23" s="16">
        <v>10042000</v>
      </c>
      <c r="G23" s="16">
        <v>9521000</v>
      </c>
      <c r="H23" s="16">
        <v>8358000</v>
      </c>
      <c r="I23" s="16">
        <v>6995000</v>
      </c>
      <c r="J23" s="16">
        <v>7269000</v>
      </c>
      <c r="K23" s="16">
        <v>7796000</v>
      </c>
      <c r="L23" s="16">
        <v>7703000</v>
      </c>
      <c r="M23" s="16">
        <v>7618000</v>
      </c>
      <c r="N23" s="16">
        <v>7781000</v>
      </c>
      <c r="O23" s="16">
        <v>9977000</v>
      </c>
      <c r="P23" s="16">
        <v>9538000</v>
      </c>
      <c r="Q23" s="16">
        <v>8152000</v>
      </c>
      <c r="R23" s="16">
        <v>9622000</v>
      </c>
      <c r="S23" s="16">
        <v>9955000</v>
      </c>
      <c r="T23" s="16">
        <v>7645000</v>
      </c>
      <c r="U23" s="16">
        <v>6893000</v>
      </c>
      <c r="V23" s="16">
        <v>8358000</v>
      </c>
      <c r="W23" s="16">
        <v>7761000</v>
      </c>
      <c r="X23" s="16">
        <v>7471000</v>
      </c>
      <c r="Y23" s="16">
        <v>7884000</v>
      </c>
      <c r="Z23" s="16">
        <v>9029000</v>
      </c>
      <c r="AA23" s="16">
        <v>10825000</v>
      </c>
      <c r="AB23" s="16">
        <v>12893000</v>
      </c>
      <c r="AC23" s="16">
        <v>10539000</v>
      </c>
      <c r="AD23" s="16">
        <v>10982000</v>
      </c>
      <c r="AE23" s="16">
        <v>7732000</v>
      </c>
      <c r="AF23" s="16">
        <v>7580000</v>
      </c>
      <c r="AG23" s="16">
        <v>7062000</v>
      </c>
      <c r="AH23" s="16">
        <v>7145000</v>
      </c>
      <c r="AI23" s="16">
        <v>8130000</v>
      </c>
      <c r="AJ23" s="16">
        <v>6611000</v>
      </c>
      <c r="AK23" s="16">
        <v>7329000</v>
      </c>
      <c r="AL23" s="16">
        <v>7396000</v>
      </c>
      <c r="AM23" s="16">
        <v>10505000</v>
      </c>
      <c r="AN23" s="16">
        <v>9266000</v>
      </c>
      <c r="AO23" s="16">
        <v>11397000</v>
      </c>
      <c r="AP23" s="16">
        <v>8109000</v>
      </c>
      <c r="AQ23" s="16">
        <v>5151000</v>
      </c>
      <c r="AR23" s="16">
        <v>7031000</v>
      </c>
      <c r="AS23" s="16">
        <v>6267000</v>
      </c>
      <c r="AT23" s="13">
        <v>6294000</v>
      </c>
      <c r="AU23" s="16">
        <v>6056000</v>
      </c>
      <c r="AV23" s="16">
        <v>6309000</v>
      </c>
      <c r="AW23" s="16">
        <v>6190000</v>
      </c>
      <c r="AX23" s="16">
        <v>6629000</v>
      </c>
      <c r="AY23" s="16">
        <v>9507000</v>
      </c>
      <c r="AZ23" s="16">
        <v>10888000</v>
      </c>
      <c r="BA23" s="16">
        <v>8418000</v>
      </c>
      <c r="BB23" s="16">
        <v>8352000</v>
      </c>
      <c r="BC23" s="13">
        <v>6217000</v>
      </c>
      <c r="BD23" s="13">
        <v>6850000</v>
      </c>
      <c r="BE23" s="16">
        <v>6383000</v>
      </c>
      <c r="BF23" s="16">
        <v>5750000</v>
      </c>
      <c r="BG23" s="16">
        <v>8372000</v>
      </c>
      <c r="BH23" s="16">
        <v>6901130</v>
      </c>
      <c r="BI23" s="16">
        <v>5962000</v>
      </c>
      <c r="BJ23" s="16">
        <v>6918000</v>
      </c>
      <c r="BK23" s="16">
        <v>10857000</v>
      </c>
      <c r="BL23" s="16">
        <v>8489000</v>
      </c>
      <c r="BM23" s="16">
        <v>8796000</v>
      </c>
      <c r="BN23" s="16">
        <v>9591000</v>
      </c>
      <c r="BO23" s="13">
        <v>9450000</v>
      </c>
      <c r="BP23" s="13">
        <v>9422000</v>
      </c>
      <c r="BQ23" s="16">
        <v>10230000</v>
      </c>
      <c r="BR23" s="16">
        <v>6947000</v>
      </c>
      <c r="BS23" s="16">
        <v>7381000</v>
      </c>
      <c r="BT23" s="16">
        <v>7699000</v>
      </c>
      <c r="BU23" s="16">
        <v>6180000</v>
      </c>
      <c r="BV23" s="16">
        <v>7608000</v>
      </c>
      <c r="BW23" s="16">
        <v>10272000</v>
      </c>
      <c r="BX23" s="16">
        <v>12485000</v>
      </c>
      <c r="BY23" s="16">
        <v>8435000</v>
      </c>
      <c r="BZ23" s="16">
        <v>9929000</v>
      </c>
      <c r="CA23" s="16">
        <v>11476000</v>
      </c>
      <c r="CB23" s="13">
        <v>8482000</v>
      </c>
      <c r="CC23" s="16">
        <v>6698000</v>
      </c>
      <c r="CD23" s="16">
        <v>6302000</v>
      </c>
      <c r="CE23" s="16">
        <v>7554000</v>
      </c>
      <c r="CF23" s="16">
        <v>8496000</v>
      </c>
      <c r="CG23" s="16">
        <v>7975000</v>
      </c>
      <c r="CH23" s="16">
        <v>8890000</v>
      </c>
      <c r="CI23" s="16">
        <v>13536000</v>
      </c>
      <c r="CJ23" s="16">
        <v>10152000</v>
      </c>
      <c r="CK23" s="16">
        <v>10021000</v>
      </c>
      <c r="CL23" s="16">
        <v>12133000</v>
      </c>
      <c r="CM23" s="16">
        <v>10498000</v>
      </c>
      <c r="CN23" s="13">
        <v>9064000</v>
      </c>
      <c r="CO23" s="16">
        <v>6753000</v>
      </c>
      <c r="CP23" s="16">
        <v>6985000</v>
      </c>
      <c r="CQ23" s="16">
        <v>7003000</v>
      </c>
      <c r="CR23" s="16">
        <v>7323000</v>
      </c>
      <c r="CS23" s="16">
        <v>7422000</v>
      </c>
      <c r="CT23" s="16">
        <v>9240000</v>
      </c>
      <c r="CU23" s="16">
        <v>9488000</v>
      </c>
      <c r="CV23" s="16">
        <v>11493000</v>
      </c>
      <c r="CW23" s="16">
        <v>10861000</v>
      </c>
      <c r="CX23" s="16">
        <v>11666000</v>
      </c>
      <c r="CY23" s="13">
        <v>8170000</v>
      </c>
      <c r="CZ23" s="13">
        <v>8878000</v>
      </c>
      <c r="DA23" s="16">
        <v>7688000</v>
      </c>
      <c r="DB23" s="16">
        <v>7761000</v>
      </c>
      <c r="DC23" s="16">
        <v>7436000</v>
      </c>
      <c r="DD23" s="16">
        <v>6825000</v>
      </c>
      <c r="DE23" s="22">
        <v>6682000</v>
      </c>
      <c r="DF23" s="16">
        <v>8190000</v>
      </c>
      <c r="DG23" s="16">
        <v>7746000</v>
      </c>
      <c r="DH23" s="16">
        <v>9264000</v>
      </c>
      <c r="DI23" s="16">
        <v>10973000</v>
      </c>
      <c r="DJ23" s="16">
        <v>10077000</v>
      </c>
      <c r="DK23" s="13">
        <v>9396000</v>
      </c>
      <c r="DL23" s="13">
        <v>5612000</v>
      </c>
      <c r="DM23" s="16">
        <v>7953000</v>
      </c>
      <c r="DN23" s="16">
        <v>8008000</v>
      </c>
      <c r="DO23" s="16">
        <v>6716000</v>
      </c>
      <c r="DP23" s="16">
        <v>6696000</v>
      </c>
      <c r="DQ23" s="16">
        <v>7532000</v>
      </c>
      <c r="DR23" s="16">
        <v>6847000</v>
      </c>
      <c r="DS23" s="16">
        <v>7943000</v>
      </c>
      <c r="DT23" s="16">
        <v>11414000</v>
      </c>
      <c r="DU23" s="16">
        <v>10579000</v>
      </c>
      <c r="DV23" s="16">
        <v>12358000</v>
      </c>
      <c r="DW23" s="16">
        <v>8249000</v>
      </c>
      <c r="DX23" s="13">
        <v>7068000</v>
      </c>
      <c r="DY23" s="16">
        <v>7324000</v>
      </c>
      <c r="DZ23" s="16">
        <v>7596000</v>
      </c>
      <c r="EA23" s="16">
        <v>7344000</v>
      </c>
      <c r="EB23" s="16">
        <v>6249000</v>
      </c>
      <c r="EC23" s="16">
        <v>7388000</v>
      </c>
      <c r="ED23" s="16">
        <v>6921000</v>
      </c>
      <c r="EE23" s="16">
        <v>7910000</v>
      </c>
      <c r="EF23" s="16">
        <v>9229000</v>
      </c>
      <c r="EG23" s="16">
        <v>11695000</v>
      </c>
      <c r="EH23" s="16">
        <v>8872000</v>
      </c>
      <c r="EI23" s="13">
        <v>8126000</v>
      </c>
      <c r="EJ23" s="13">
        <v>8101000</v>
      </c>
      <c r="EK23" s="16">
        <v>6769000</v>
      </c>
      <c r="EL23" s="16">
        <v>6560000</v>
      </c>
      <c r="EM23" s="16">
        <v>6842000</v>
      </c>
      <c r="EN23" s="16">
        <v>6994000</v>
      </c>
      <c r="EO23" s="16">
        <v>6019000</v>
      </c>
      <c r="EP23" s="16">
        <v>7192000</v>
      </c>
      <c r="EQ23" s="16">
        <v>9423000</v>
      </c>
      <c r="ER23" s="16">
        <v>8837000</v>
      </c>
      <c r="ES23" s="16">
        <v>12615000</v>
      </c>
      <c r="ET23" s="16">
        <v>10390000</v>
      </c>
      <c r="EU23" s="16">
        <v>9411000</v>
      </c>
      <c r="EV23" s="13">
        <v>9485000</v>
      </c>
      <c r="EW23" s="16">
        <v>7867000</v>
      </c>
      <c r="EX23" s="16">
        <v>8095000</v>
      </c>
      <c r="EY23" s="16">
        <v>8265000</v>
      </c>
      <c r="EZ23" s="16">
        <v>6930000</v>
      </c>
      <c r="FA23" s="16">
        <v>6700000</v>
      </c>
      <c r="FB23" s="356">
        <v>6696440</v>
      </c>
      <c r="FC23" s="357">
        <v>8008670</v>
      </c>
      <c r="FD23" s="357">
        <v>12440870</v>
      </c>
      <c r="FE23" s="357">
        <v>10276230</v>
      </c>
      <c r="FF23" s="359">
        <v>9026000</v>
      </c>
      <c r="FG23" s="16">
        <v>8014000</v>
      </c>
      <c r="FH23" s="13">
        <v>6827000</v>
      </c>
      <c r="FI23" s="16">
        <v>7665000</v>
      </c>
      <c r="FJ23" s="16">
        <v>6935000</v>
      </c>
      <c r="FK23" s="16">
        <v>5731000</v>
      </c>
      <c r="FL23" s="16">
        <v>5617000</v>
      </c>
      <c r="FM23" s="16">
        <v>6676000</v>
      </c>
      <c r="FN23" s="16">
        <v>6705000</v>
      </c>
      <c r="FO23" s="16">
        <v>8681000</v>
      </c>
      <c r="FP23" s="16">
        <v>8397000</v>
      </c>
      <c r="FQ23" s="16">
        <v>8858000</v>
      </c>
      <c r="FR23" s="16">
        <v>10093000</v>
      </c>
      <c r="FS23" s="16">
        <v>8628000</v>
      </c>
      <c r="FT23" s="13">
        <v>6351000</v>
      </c>
      <c r="FU23" s="16">
        <v>5659000</v>
      </c>
      <c r="FV23" s="16">
        <v>5853000</v>
      </c>
      <c r="FW23" s="16">
        <v>6750000</v>
      </c>
      <c r="FX23" s="16">
        <v>7049000</v>
      </c>
      <c r="FY23" s="16">
        <v>8541000</v>
      </c>
      <c r="FZ23" s="16">
        <v>7493000</v>
      </c>
      <c r="GA23" s="16">
        <v>9138000</v>
      </c>
      <c r="GB23" s="197">
        <v>8514000</v>
      </c>
      <c r="GC23" s="197">
        <v>8941000</v>
      </c>
      <c r="GD23" s="16">
        <v>9628000</v>
      </c>
      <c r="GE23" s="16">
        <v>7616000</v>
      </c>
      <c r="GF23" s="13">
        <v>6601000</v>
      </c>
      <c r="GG23" s="415">
        <v>7679000</v>
      </c>
    </row>
    <row r="24" spans="2:189" ht="14.25">
      <c r="B24" s="13">
        <v>9850000</v>
      </c>
      <c r="C24" s="16">
        <v>10131000</v>
      </c>
      <c r="D24" s="16">
        <v>12649000</v>
      </c>
      <c r="E24" s="16">
        <v>11406000</v>
      </c>
      <c r="F24" s="16">
        <v>10507000</v>
      </c>
      <c r="G24" s="16">
        <v>7997000</v>
      </c>
      <c r="H24" s="16">
        <v>8974000</v>
      </c>
      <c r="I24" s="16">
        <v>7538000</v>
      </c>
      <c r="J24" s="16">
        <v>6765000</v>
      </c>
      <c r="K24" s="16">
        <v>8076000</v>
      </c>
      <c r="L24" s="16">
        <v>8278000</v>
      </c>
      <c r="M24" s="16">
        <v>7547000</v>
      </c>
      <c r="N24" s="16">
        <v>7549000</v>
      </c>
      <c r="O24" s="16">
        <v>10203000</v>
      </c>
      <c r="P24" s="16">
        <v>9048000</v>
      </c>
      <c r="Q24" s="16">
        <v>9097000</v>
      </c>
      <c r="R24" s="16">
        <v>9452000</v>
      </c>
      <c r="S24" s="16">
        <v>8380000</v>
      </c>
      <c r="T24" s="16">
        <v>8231000</v>
      </c>
      <c r="U24" s="16">
        <v>7786000</v>
      </c>
      <c r="V24" s="16">
        <v>7604000</v>
      </c>
      <c r="W24" s="16">
        <v>7881000</v>
      </c>
      <c r="X24" s="16">
        <v>8676000</v>
      </c>
      <c r="Y24" s="16">
        <v>8482000</v>
      </c>
      <c r="Z24" s="16">
        <v>8249000</v>
      </c>
      <c r="AA24" s="16">
        <v>10638000</v>
      </c>
      <c r="AB24" s="16">
        <v>11513000</v>
      </c>
      <c r="AC24" s="16">
        <v>11403000</v>
      </c>
      <c r="AD24" s="16">
        <v>11466000</v>
      </c>
      <c r="AE24" s="16">
        <v>8604000</v>
      </c>
      <c r="AF24" s="16">
        <v>7069000</v>
      </c>
      <c r="AG24" s="16">
        <v>7205000</v>
      </c>
      <c r="AH24" s="16">
        <v>6757000</v>
      </c>
      <c r="AI24" s="16">
        <v>7042000</v>
      </c>
      <c r="AJ24" s="16">
        <v>7245000</v>
      </c>
      <c r="AK24" s="16">
        <v>6135000</v>
      </c>
      <c r="AL24" s="16">
        <v>8655000</v>
      </c>
      <c r="AM24" s="16">
        <v>10824000</v>
      </c>
      <c r="AN24" s="16">
        <v>9609000</v>
      </c>
      <c r="AO24" s="16">
        <v>11212000</v>
      </c>
      <c r="AP24" s="16">
        <v>9042000</v>
      </c>
      <c r="AQ24" s="16">
        <v>6369000</v>
      </c>
      <c r="AR24" s="16">
        <v>8799000</v>
      </c>
      <c r="AS24" s="16">
        <v>5311000</v>
      </c>
      <c r="AT24" s="16">
        <v>4731000</v>
      </c>
      <c r="AU24" s="16">
        <v>6328000</v>
      </c>
      <c r="AV24" s="16">
        <v>6383000</v>
      </c>
      <c r="AW24" s="16">
        <v>7911000</v>
      </c>
      <c r="AX24" s="16">
        <v>9481000</v>
      </c>
      <c r="AY24" s="16">
        <v>5691000</v>
      </c>
      <c r="AZ24" s="16">
        <v>9488000</v>
      </c>
      <c r="BA24" s="16">
        <v>7152000</v>
      </c>
      <c r="BB24" s="16">
        <v>8020000</v>
      </c>
      <c r="BC24" s="13">
        <v>6834000</v>
      </c>
      <c r="BD24" s="13">
        <v>6462000</v>
      </c>
      <c r="BE24" s="16">
        <v>6876000</v>
      </c>
      <c r="BF24" s="16">
        <v>7491000</v>
      </c>
      <c r="BG24" s="16">
        <v>8811000</v>
      </c>
      <c r="BH24" s="16">
        <v>6651549</v>
      </c>
      <c r="BI24" s="16">
        <v>7694000</v>
      </c>
      <c r="BJ24" s="16">
        <v>7914000</v>
      </c>
      <c r="BK24" s="16">
        <v>10926000</v>
      </c>
      <c r="BL24" s="16">
        <v>8144000</v>
      </c>
      <c r="BM24" s="16">
        <v>10023000</v>
      </c>
      <c r="BN24" s="16">
        <v>6980000</v>
      </c>
      <c r="BO24" s="13">
        <v>8404000</v>
      </c>
      <c r="BP24" s="13">
        <v>8482000</v>
      </c>
      <c r="BQ24" s="16">
        <v>8485000</v>
      </c>
      <c r="BR24" s="16">
        <v>7096000</v>
      </c>
      <c r="BS24" s="16">
        <v>7968000</v>
      </c>
      <c r="BT24" s="16">
        <v>8149000</v>
      </c>
      <c r="BU24" s="16">
        <v>7887000</v>
      </c>
      <c r="BV24" s="16">
        <v>8466000</v>
      </c>
      <c r="BW24" s="16">
        <v>10514000</v>
      </c>
      <c r="BX24" s="16">
        <v>14503000</v>
      </c>
      <c r="BY24" s="16">
        <v>9106000</v>
      </c>
      <c r="BZ24" s="16">
        <v>10523000</v>
      </c>
      <c r="CA24" s="13">
        <v>10525000</v>
      </c>
      <c r="CB24" s="13">
        <v>7567000</v>
      </c>
      <c r="CC24" s="16">
        <v>7969000</v>
      </c>
      <c r="CD24" s="16">
        <v>7511000</v>
      </c>
      <c r="CE24" s="16">
        <v>6879000</v>
      </c>
      <c r="CF24" s="16">
        <v>7870000</v>
      </c>
      <c r="CG24" s="16">
        <v>7637000</v>
      </c>
      <c r="CH24" s="16">
        <v>10632000</v>
      </c>
      <c r="CI24" s="16">
        <v>11921000</v>
      </c>
      <c r="CJ24" s="16">
        <v>10691000</v>
      </c>
      <c r="CK24" s="16">
        <v>12026000</v>
      </c>
      <c r="CL24" s="16">
        <v>11364000</v>
      </c>
      <c r="CM24" s="13">
        <v>7680000</v>
      </c>
      <c r="CN24" s="13">
        <v>9547000</v>
      </c>
      <c r="CO24" s="16">
        <v>6495000</v>
      </c>
      <c r="CP24" s="16">
        <v>6846000</v>
      </c>
      <c r="CQ24" s="16">
        <v>6712000</v>
      </c>
      <c r="CR24" s="16">
        <v>6782000</v>
      </c>
      <c r="CS24" s="16">
        <v>8157000</v>
      </c>
      <c r="CT24" s="16">
        <v>8376000</v>
      </c>
      <c r="CU24" s="16">
        <v>11124000</v>
      </c>
      <c r="CV24" s="16">
        <v>10066000</v>
      </c>
      <c r="CW24" s="16">
        <v>9553000</v>
      </c>
      <c r="CX24" s="16">
        <v>10740000</v>
      </c>
      <c r="CY24" s="13">
        <v>10210000</v>
      </c>
      <c r="CZ24" s="16">
        <v>7999000</v>
      </c>
      <c r="DA24" s="16">
        <v>7608000</v>
      </c>
      <c r="DB24" s="16">
        <v>6873000</v>
      </c>
      <c r="DC24" s="16">
        <v>7284000</v>
      </c>
      <c r="DD24" s="16">
        <v>6905000</v>
      </c>
      <c r="DE24" s="22">
        <v>6925000</v>
      </c>
      <c r="DF24" s="16">
        <v>7814000</v>
      </c>
      <c r="DG24" s="16">
        <v>7197000</v>
      </c>
      <c r="DH24" s="16">
        <v>9654000</v>
      </c>
      <c r="DI24" s="16">
        <v>10730000</v>
      </c>
      <c r="DJ24" s="16">
        <v>10586000</v>
      </c>
      <c r="DK24" s="13">
        <v>9184000</v>
      </c>
      <c r="DL24" s="13">
        <v>6417000</v>
      </c>
      <c r="DM24" s="16">
        <v>7384000</v>
      </c>
      <c r="DN24" s="16">
        <v>7034000</v>
      </c>
      <c r="DO24" s="16">
        <v>6326000</v>
      </c>
      <c r="DP24" s="16">
        <v>6780000</v>
      </c>
      <c r="DQ24" s="16">
        <v>7468000</v>
      </c>
      <c r="DR24" s="16">
        <v>8006000</v>
      </c>
      <c r="DS24" s="16">
        <v>7943000</v>
      </c>
      <c r="DT24" s="16">
        <v>12192000</v>
      </c>
      <c r="DU24" s="16">
        <v>10539000</v>
      </c>
      <c r="DV24" s="16">
        <v>12527000</v>
      </c>
      <c r="DW24" s="16">
        <v>8131000</v>
      </c>
      <c r="DX24" s="13">
        <v>7246000</v>
      </c>
      <c r="DY24" s="16">
        <v>7754000</v>
      </c>
      <c r="DZ24" s="16">
        <v>7366000</v>
      </c>
      <c r="EA24" s="16">
        <v>7479000</v>
      </c>
      <c r="EB24" s="16">
        <v>6761000</v>
      </c>
      <c r="EC24" s="16">
        <v>6469000</v>
      </c>
      <c r="ED24" s="16">
        <v>9492000</v>
      </c>
      <c r="EE24" s="16">
        <v>7986000</v>
      </c>
      <c r="EF24" s="16">
        <v>8447000</v>
      </c>
      <c r="EG24" s="16">
        <v>11485000</v>
      </c>
      <c r="EH24" s="16">
        <v>8381000</v>
      </c>
      <c r="EI24" s="13">
        <v>8081000</v>
      </c>
      <c r="EJ24" s="13">
        <v>7574000</v>
      </c>
      <c r="EK24" s="16">
        <v>6179000</v>
      </c>
      <c r="EL24" s="16">
        <v>7351000</v>
      </c>
      <c r="EM24" s="16">
        <v>5819000</v>
      </c>
      <c r="EN24" s="16">
        <v>6019000</v>
      </c>
      <c r="EO24" s="16">
        <v>5862000</v>
      </c>
      <c r="EP24" s="16">
        <v>7075000</v>
      </c>
      <c r="EQ24" s="16">
        <v>9265000</v>
      </c>
      <c r="ER24" s="16">
        <v>9184000</v>
      </c>
      <c r="ES24" s="16">
        <v>11735000</v>
      </c>
      <c r="ET24" s="16">
        <v>11059000</v>
      </c>
      <c r="EU24" s="16">
        <v>9301000</v>
      </c>
      <c r="EV24" s="13">
        <v>10064000</v>
      </c>
      <c r="EW24" s="16">
        <v>8608000</v>
      </c>
      <c r="EX24" s="16">
        <v>7561000</v>
      </c>
      <c r="EY24" s="16">
        <v>8533000</v>
      </c>
      <c r="EZ24" s="16">
        <v>6939000</v>
      </c>
      <c r="FA24" s="16">
        <v>7370000</v>
      </c>
      <c r="FB24" s="356">
        <v>9762460</v>
      </c>
      <c r="FC24" s="357">
        <v>7632680</v>
      </c>
      <c r="FD24" s="357">
        <v>12403520</v>
      </c>
      <c r="FE24" s="358">
        <v>10563410</v>
      </c>
      <c r="FF24" s="359">
        <v>9782000</v>
      </c>
      <c r="FG24" s="16">
        <v>7495000</v>
      </c>
      <c r="FH24" s="16">
        <v>6516000</v>
      </c>
      <c r="FI24" s="16">
        <v>7738000</v>
      </c>
      <c r="FJ24" s="16">
        <v>6275000</v>
      </c>
      <c r="FK24" s="16">
        <v>5943000</v>
      </c>
      <c r="FL24" s="16">
        <v>6368000</v>
      </c>
      <c r="FM24" s="16">
        <v>5142000</v>
      </c>
      <c r="FN24" s="16">
        <v>6393000</v>
      </c>
      <c r="FO24" s="16">
        <v>9497000</v>
      </c>
      <c r="FP24" s="16">
        <v>8303000</v>
      </c>
      <c r="FQ24" s="16">
        <v>10516000</v>
      </c>
      <c r="FR24" s="16">
        <v>9213000</v>
      </c>
      <c r="FS24" s="16">
        <v>8343000</v>
      </c>
      <c r="FT24" s="16">
        <v>6882000</v>
      </c>
      <c r="FU24" s="16">
        <v>6107000</v>
      </c>
      <c r="FV24" s="16">
        <v>9098000</v>
      </c>
      <c r="FW24" s="16">
        <v>7173000</v>
      </c>
      <c r="FX24" s="16">
        <v>5640000</v>
      </c>
      <c r="FY24" s="16">
        <v>5246000</v>
      </c>
      <c r="FZ24" s="16">
        <v>6404000</v>
      </c>
      <c r="GA24" s="16">
        <v>9372000</v>
      </c>
      <c r="GB24" s="197">
        <v>9839000</v>
      </c>
      <c r="GC24" s="197">
        <v>11014000</v>
      </c>
      <c r="GD24" s="16">
        <v>10278000</v>
      </c>
      <c r="GE24" s="13">
        <v>7582000</v>
      </c>
      <c r="GF24" s="13">
        <v>7456000</v>
      </c>
      <c r="GG24" s="415">
        <v>8290000</v>
      </c>
    </row>
    <row r="25" spans="2:189" ht="14.25">
      <c r="B25" s="13">
        <v>8866000</v>
      </c>
      <c r="C25" s="16">
        <v>10972000</v>
      </c>
      <c r="D25" s="16">
        <v>13734000</v>
      </c>
      <c r="E25" s="16">
        <v>10737000</v>
      </c>
      <c r="F25" s="16">
        <v>11136000</v>
      </c>
      <c r="G25" s="16">
        <v>9178000</v>
      </c>
      <c r="H25" s="16">
        <v>9184000</v>
      </c>
      <c r="I25" s="16">
        <v>7483000</v>
      </c>
      <c r="J25" s="16">
        <v>7835000</v>
      </c>
      <c r="K25" s="16">
        <v>7716000</v>
      </c>
      <c r="L25" s="16">
        <v>7480000</v>
      </c>
      <c r="M25" s="16">
        <v>7839000</v>
      </c>
      <c r="N25" s="16">
        <v>8838000</v>
      </c>
      <c r="O25" s="16">
        <v>9938000</v>
      </c>
      <c r="P25" s="16">
        <v>7556000</v>
      </c>
      <c r="Q25" s="16">
        <v>10368000</v>
      </c>
      <c r="R25" s="16">
        <v>9825000</v>
      </c>
      <c r="S25" s="16">
        <v>7831000</v>
      </c>
      <c r="T25" s="16">
        <v>8726000</v>
      </c>
      <c r="U25" s="16">
        <v>7207000</v>
      </c>
      <c r="V25" s="16">
        <v>8179000</v>
      </c>
      <c r="W25" s="16">
        <v>7364000</v>
      </c>
      <c r="X25" s="16">
        <v>7711000</v>
      </c>
      <c r="Y25" s="16">
        <v>8620000</v>
      </c>
      <c r="Z25" s="16">
        <v>9465000</v>
      </c>
      <c r="AA25" s="16">
        <v>9787000</v>
      </c>
      <c r="AB25" s="16">
        <v>10879000</v>
      </c>
      <c r="AC25" s="16">
        <v>11916000</v>
      </c>
      <c r="AD25" s="16">
        <v>11480000</v>
      </c>
      <c r="AE25" s="16">
        <v>8007000</v>
      </c>
      <c r="AF25" s="16">
        <v>7874000</v>
      </c>
      <c r="AG25" s="16">
        <v>7241000</v>
      </c>
      <c r="AH25" s="16">
        <v>8274000</v>
      </c>
      <c r="AI25" s="16">
        <v>7116000</v>
      </c>
      <c r="AJ25" s="16">
        <v>6471000</v>
      </c>
      <c r="AK25" s="16">
        <v>6484000</v>
      </c>
      <c r="AL25" s="16">
        <v>9430000</v>
      </c>
      <c r="AM25" s="16">
        <v>10583000</v>
      </c>
      <c r="AN25" s="16">
        <v>10050000</v>
      </c>
      <c r="AO25" s="16">
        <v>11622000</v>
      </c>
      <c r="AP25" s="16">
        <v>7718000</v>
      </c>
      <c r="AQ25" s="16">
        <v>7389000</v>
      </c>
      <c r="AR25" s="16">
        <v>6184000</v>
      </c>
      <c r="AS25" s="16">
        <v>6661000</v>
      </c>
      <c r="AT25" s="16">
        <v>5643000</v>
      </c>
      <c r="AU25" s="16">
        <v>6392000</v>
      </c>
      <c r="AV25" s="16">
        <v>5223000</v>
      </c>
      <c r="AW25" s="16">
        <v>4480000</v>
      </c>
      <c r="AX25" s="16">
        <v>5592000</v>
      </c>
      <c r="AY25" s="16">
        <v>8211000</v>
      </c>
      <c r="AZ25" s="16">
        <v>5307000</v>
      </c>
      <c r="BA25" s="16">
        <v>7952000</v>
      </c>
      <c r="BB25" s="16">
        <v>8586000</v>
      </c>
      <c r="BC25" s="13">
        <v>6492000</v>
      </c>
      <c r="BD25" s="16">
        <v>7190000</v>
      </c>
      <c r="BE25" s="16">
        <v>6613000</v>
      </c>
      <c r="BF25" s="16">
        <v>5854000</v>
      </c>
      <c r="BG25" s="16">
        <v>7714000</v>
      </c>
      <c r="BH25" s="16">
        <v>6906867</v>
      </c>
      <c r="BI25" s="16">
        <v>7298000</v>
      </c>
      <c r="BJ25" s="16">
        <v>8836000</v>
      </c>
      <c r="BK25" s="16">
        <v>10066000</v>
      </c>
      <c r="BL25" s="16">
        <v>9366000</v>
      </c>
      <c r="BM25" s="16">
        <v>8570000</v>
      </c>
      <c r="BN25" s="16">
        <v>9492000</v>
      </c>
      <c r="BO25" s="13">
        <v>9662000</v>
      </c>
      <c r="BP25" s="13">
        <v>8367000</v>
      </c>
      <c r="BQ25" s="16">
        <v>6829000</v>
      </c>
      <c r="BR25" s="16">
        <v>6866000</v>
      </c>
      <c r="BS25" s="16">
        <v>8112000</v>
      </c>
      <c r="BT25" s="16">
        <v>7381000</v>
      </c>
      <c r="BU25" s="16">
        <v>8173000</v>
      </c>
      <c r="BV25" s="16">
        <v>7889000</v>
      </c>
      <c r="BW25" s="16">
        <v>12738000</v>
      </c>
      <c r="BX25" s="16">
        <v>12074000</v>
      </c>
      <c r="BY25" s="16">
        <v>10811000</v>
      </c>
      <c r="BZ25" s="16">
        <v>11024000</v>
      </c>
      <c r="CA25" s="13">
        <v>9990000</v>
      </c>
      <c r="CB25" s="13">
        <v>8245000</v>
      </c>
      <c r="CC25" s="13">
        <v>6592000</v>
      </c>
      <c r="CD25" s="16">
        <v>6689000</v>
      </c>
      <c r="CE25" s="16">
        <v>7578000</v>
      </c>
      <c r="CF25" s="16">
        <v>7765000</v>
      </c>
      <c r="CG25" s="16">
        <v>7546000</v>
      </c>
      <c r="CH25" s="16">
        <v>12427000</v>
      </c>
      <c r="CI25" s="16">
        <v>10865000</v>
      </c>
      <c r="CJ25" s="16">
        <v>10850000</v>
      </c>
      <c r="CK25" s="16">
        <v>12418000</v>
      </c>
      <c r="CL25" s="16">
        <v>11651000</v>
      </c>
      <c r="CM25" s="13">
        <v>7468000</v>
      </c>
      <c r="CN25" s="13">
        <v>8056000</v>
      </c>
      <c r="CO25" s="16">
        <v>7197000</v>
      </c>
      <c r="CP25" s="16">
        <v>7249000</v>
      </c>
      <c r="CQ25" s="16">
        <v>7179000</v>
      </c>
      <c r="CR25" s="16">
        <v>6686000</v>
      </c>
      <c r="CS25" s="16">
        <v>7437000</v>
      </c>
      <c r="CT25" s="16">
        <v>9095000</v>
      </c>
      <c r="CU25" s="16">
        <v>9754000</v>
      </c>
      <c r="CV25" s="16">
        <v>11519000</v>
      </c>
      <c r="CW25" s="16">
        <v>9886000</v>
      </c>
      <c r="CX25" s="16">
        <v>9201000</v>
      </c>
      <c r="CY25" s="13">
        <v>9289000</v>
      </c>
      <c r="CZ25" s="16">
        <v>8007000</v>
      </c>
      <c r="DA25" s="16">
        <v>8851000</v>
      </c>
      <c r="DB25" s="16">
        <v>6996000</v>
      </c>
      <c r="DC25" s="16">
        <v>6410000</v>
      </c>
      <c r="DD25" s="16">
        <v>7517000</v>
      </c>
      <c r="DE25" s="22">
        <v>6736000</v>
      </c>
      <c r="DF25" s="16">
        <v>7681000</v>
      </c>
      <c r="DG25" s="16">
        <v>8085000</v>
      </c>
      <c r="DH25" s="16">
        <v>10907000</v>
      </c>
      <c r="DI25" s="16">
        <v>11066000</v>
      </c>
      <c r="DJ25" s="16">
        <v>8943000</v>
      </c>
      <c r="DK25" s="13">
        <v>10756000</v>
      </c>
      <c r="DL25" s="16">
        <v>7513000</v>
      </c>
      <c r="DM25" s="16">
        <v>7327000</v>
      </c>
      <c r="DN25" s="16">
        <v>6843000</v>
      </c>
      <c r="DO25" s="16">
        <v>7535000</v>
      </c>
      <c r="DP25" s="16">
        <v>6198000</v>
      </c>
      <c r="DQ25" s="16">
        <v>6352000</v>
      </c>
      <c r="DR25" s="16">
        <v>8371000</v>
      </c>
      <c r="DS25" s="16">
        <v>7943000</v>
      </c>
      <c r="DT25" s="16">
        <v>12412000</v>
      </c>
      <c r="DU25" s="16">
        <v>11074000</v>
      </c>
      <c r="DV25" s="16">
        <v>11821000</v>
      </c>
      <c r="DW25" s="13">
        <v>7480000</v>
      </c>
      <c r="DX25" s="16">
        <v>7628000</v>
      </c>
      <c r="DY25" s="16">
        <v>6772000</v>
      </c>
      <c r="DZ25" s="16">
        <v>7017000</v>
      </c>
      <c r="EA25" s="16">
        <v>7120000</v>
      </c>
      <c r="EB25" s="16">
        <v>7381000</v>
      </c>
      <c r="EC25" s="16">
        <v>6871000</v>
      </c>
      <c r="ED25" s="16">
        <v>9838000</v>
      </c>
      <c r="EE25" s="16">
        <v>7336000</v>
      </c>
      <c r="EF25" s="16">
        <v>9269000</v>
      </c>
      <c r="EG25" s="16">
        <v>10289000</v>
      </c>
      <c r="EH25" s="16">
        <v>8899000</v>
      </c>
      <c r="EI25" s="13">
        <v>7265000</v>
      </c>
      <c r="EJ25" s="13">
        <v>6759000</v>
      </c>
      <c r="EK25" s="16">
        <v>7569000</v>
      </c>
      <c r="EL25" s="16">
        <v>7207000</v>
      </c>
      <c r="EM25" s="16">
        <v>6090000</v>
      </c>
      <c r="EN25" s="16">
        <v>6818000</v>
      </c>
      <c r="EO25" s="16">
        <v>6956000</v>
      </c>
      <c r="EP25" s="16">
        <v>6402000</v>
      </c>
      <c r="EQ25" s="16">
        <v>9226000</v>
      </c>
      <c r="ER25" s="16">
        <v>9481000</v>
      </c>
      <c r="ES25" s="16">
        <v>12960000</v>
      </c>
      <c r="ET25" s="16">
        <v>11822000</v>
      </c>
      <c r="EU25" s="16">
        <v>8367000</v>
      </c>
      <c r="EV25" s="13">
        <v>8873000</v>
      </c>
      <c r="EW25" s="16">
        <v>7868000</v>
      </c>
      <c r="EX25" s="16">
        <v>8662000</v>
      </c>
      <c r="EY25" s="16">
        <v>7545000</v>
      </c>
      <c r="EZ25" s="16">
        <v>8132000</v>
      </c>
      <c r="FA25" s="16">
        <v>7230000</v>
      </c>
      <c r="FB25" s="356">
        <v>7826070</v>
      </c>
      <c r="FC25" s="357">
        <v>8726620</v>
      </c>
      <c r="FD25" s="357">
        <v>9738390</v>
      </c>
      <c r="FE25" s="358">
        <v>11805920</v>
      </c>
      <c r="FF25" s="16">
        <v>8994000</v>
      </c>
      <c r="FG25" s="13">
        <v>7221000</v>
      </c>
      <c r="FH25" s="16">
        <v>4495000</v>
      </c>
      <c r="FI25" s="16">
        <v>8079000</v>
      </c>
      <c r="FJ25" s="16">
        <v>6812000</v>
      </c>
      <c r="FK25" s="16">
        <v>6416000</v>
      </c>
      <c r="FL25" s="16">
        <v>6014000</v>
      </c>
      <c r="FM25" s="16">
        <v>5917000</v>
      </c>
      <c r="FN25" s="16">
        <v>7087000</v>
      </c>
      <c r="FO25" s="16">
        <v>9894000</v>
      </c>
      <c r="FP25" s="16">
        <v>9642000</v>
      </c>
      <c r="FQ25" s="16">
        <v>9929000</v>
      </c>
      <c r="FR25" s="16">
        <v>9991000</v>
      </c>
      <c r="FS25" s="16">
        <v>7917000</v>
      </c>
      <c r="FT25" s="16">
        <v>6243000</v>
      </c>
      <c r="FU25" s="16">
        <v>5785000</v>
      </c>
      <c r="FV25" s="16">
        <v>8931000</v>
      </c>
      <c r="FW25" s="16">
        <v>6340000</v>
      </c>
      <c r="FX25" s="16">
        <v>6534000</v>
      </c>
      <c r="FY25" s="16">
        <v>4980000</v>
      </c>
      <c r="FZ25" s="16">
        <v>7428000</v>
      </c>
      <c r="GA25" s="16">
        <v>9003000</v>
      </c>
      <c r="GB25" s="197">
        <v>9093000</v>
      </c>
      <c r="GC25" s="16">
        <v>9973000</v>
      </c>
      <c r="GD25" s="16">
        <v>11064000</v>
      </c>
      <c r="GE25" s="13">
        <v>8140000</v>
      </c>
      <c r="GF25" s="13">
        <v>6900000</v>
      </c>
      <c r="GG25" s="415">
        <v>7510000</v>
      </c>
    </row>
    <row r="26" spans="2:189" ht="14.25">
      <c r="B26" s="13">
        <v>7568000</v>
      </c>
      <c r="C26" s="16">
        <v>10207000</v>
      </c>
      <c r="D26" s="16">
        <v>11240000</v>
      </c>
      <c r="E26" s="16">
        <v>12045000</v>
      </c>
      <c r="F26" s="16">
        <v>10503000</v>
      </c>
      <c r="G26" s="16">
        <v>7804000</v>
      </c>
      <c r="H26" s="16">
        <v>9269000</v>
      </c>
      <c r="I26" s="16">
        <v>8848000</v>
      </c>
      <c r="J26" s="16">
        <v>7108000</v>
      </c>
      <c r="K26" s="16">
        <v>7981000</v>
      </c>
      <c r="L26" s="16">
        <v>7103000</v>
      </c>
      <c r="M26" s="32">
        <v>7500000</v>
      </c>
      <c r="N26" s="16">
        <v>9260000</v>
      </c>
      <c r="O26" s="16">
        <v>10956000</v>
      </c>
      <c r="P26" s="16">
        <v>7511000</v>
      </c>
      <c r="Q26" s="16">
        <v>10389000</v>
      </c>
      <c r="R26" s="16">
        <v>10589000</v>
      </c>
      <c r="S26" s="16">
        <v>8066000</v>
      </c>
      <c r="T26" s="16">
        <v>9312000</v>
      </c>
      <c r="U26" s="16">
        <v>7383000</v>
      </c>
      <c r="V26" s="16">
        <v>7832000</v>
      </c>
      <c r="W26" s="16">
        <v>7197000</v>
      </c>
      <c r="X26" s="16">
        <v>6674000</v>
      </c>
      <c r="Y26" s="16">
        <v>7985000</v>
      </c>
      <c r="Z26" s="16">
        <v>8385000</v>
      </c>
      <c r="AA26" s="16">
        <v>9649000</v>
      </c>
      <c r="AB26" s="16">
        <v>10782000</v>
      </c>
      <c r="AC26" s="16">
        <v>10729000</v>
      </c>
      <c r="AD26" s="16">
        <v>9477000</v>
      </c>
      <c r="AE26" s="16">
        <v>8588000</v>
      </c>
      <c r="AF26" s="16">
        <v>7958000</v>
      </c>
      <c r="AG26" s="13">
        <v>6909000</v>
      </c>
      <c r="AH26" s="16">
        <v>7416000</v>
      </c>
      <c r="AI26" s="16">
        <v>7083000</v>
      </c>
      <c r="AJ26" s="16">
        <v>7540000</v>
      </c>
      <c r="AK26" s="16">
        <v>6701000</v>
      </c>
      <c r="AL26" s="16">
        <v>9739000</v>
      </c>
      <c r="AM26" s="16">
        <v>9741000</v>
      </c>
      <c r="AN26" s="16">
        <v>10488000</v>
      </c>
      <c r="AO26" s="16">
        <v>9777000</v>
      </c>
      <c r="AP26" s="16">
        <v>7638000</v>
      </c>
      <c r="AQ26" s="16">
        <v>7300000</v>
      </c>
      <c r="AR26" s="16">
        <v>7872000</v>
      </c>
      <c r="AS26" s="13">
        <v>5847000</v>
      </c>
      <c r="AT26" s="16">
        <v>6251000</v>
      </c>
      <c r="AU26" s="16">
        <v>6325000</v>
      </c>
      <c r="AV26" s="16">
        <v>6255000</v>
      </c>
      <c r="AW26" s="16">
        <v>4621000</v>
      </c>
      <c r="AX26" s="16">
        <v>5228000</v>
      </c>
      <c r="AY26" s="16">
        <v>12759000</v>
      </c>
      <c r="AZ26" s="16">
        <v>5494000</v>
      </c>
      <c r="BA26" s="16">
        <v>9758000</v>
      </c>
      <c r="BB26" s="16">
        <v>9074000</v>
      </c>
      <c r="BC26" s="13">
        <v>6573000</v>
      </c>
      <c r="BD26" s="16">
        <v>6645000</v>
      </c>
      <c r="BE26" s="16">
        <v>6029000</v>
      </c>
      <c r="BF26" s="16">
        <v>7686000</v>
      </c>
      <c r="BG26" s="16">
        <v>8054000</v>
      </c>
      <c r="BH26" s="16">
        <v>8129000</v>
      </c>
      <c r="BI26" s="16">
        <v>6027000</v>
      </c>
      <c r="BJ26" s="16">
        <v>8061000</v>
      </c>
      <c r="BK26" s="16">
        <v>7983000</v>
      </c>
      <c r="BL26" s="16">
        <v>8919000</v>
      </c>
      <c r="BM26" s="16">
        <v>10729000</v>
      </c>
      <c r="BN26" s="16">
        <v>7171000</v>
      </c>
      <c r="BO26" s="13">
        <v>8630000</v>
      </c>
      <c r="BP26" s="16">
        <v>8151000</v>
      </c>
      <c r="BQ26" s="16">
        <v>7177000</v>
      </c>
      <c r="BR26" s="16">
        <v>7178000</v>
      </c>
      <c r="BS26" s="16">
        <v>7907000</v>
      </c>
      <c r="BT26" s="16">
        <v>8125000</v>
      </c>
      <c r="BU26" s="16">
        <v>8124000</v>
      </c>
      <c r="BV26" s="16">
        <v>7837000</v>
      </c>
      <c r="BW26" s="16">
        <v>10196000</v>
      </c>
      <c r="BX26" s="16">
        <v>9279000</v>
      </c>
      <c r="BY26" s="16">
        <v>9635000</v>
      </c>
      <c r="BZ26" s="16">
        <v>10535000</v>
      </c>
      <c r="CA26" s="13">
        <v>7961000</v>
      </c>
      <c r="CB26" s="13">
        <v>7251000</v>
      </c>
      <c r="CC26" s="13">
        <v>7810000</v>
      </c>
      <c r="CD26" s="16">
        <v>6753000</v>
      </c>
      <c r="CE26" s="16">
        <v>7967000</v>
      </c>
      <c r="CF26" s="16">
        <v>8314000</v>
      </c>
      <c r="CG26" s="16">
        <v>7896000</v>
      </c>
      <c r="CH26" s="16">
        <v>9405000</v>
      </c>
      <c r="CI26" s="16">
        <v>10204000</v>
      </c>
      <c r="CJ26" s="16">
        <v>11728000</v>
      </c>
      <c r="CK26" s="16">
        <v>11121000</v>
      </c>
      <c r="CL26" s="16">
        <v>9697000</v>
      </c>
      <c r="CM26" s="13">
        <v>7488000</v>
      </c>
      <c r="CN26" s="13">
        <v>6106000</v>
      </c>
      <c r="CO26" s="13">
        <v>7209000</v>
      </c>
      <c r="CP26" s="16">
        <v>6720000</v>
      </c>
      <c r="CQ26" s="16">
        <v>6894000</v>
      </c>
      <c r="CR26" s="16">
        <v>7824000</v>
      </c>
      <c r="CS26" s="16">
        <v>7334000</v>
      </c>
      <c r="CT26" s="16">
        <v>9086000</v>
      </c>
      <c r="CU26" s="16">
        <v>9638000</v>
      </c>
      <c r="CV26" s="16">
        <v>9401000</v>
      </c>
      <c r="CW26" s="16">
        <v>12293000</v>
      </c>
      <c r="CX26" s="16">
        <v>9023000</v>
      </c>
      <c r="CY26" s="13">
        <v>9801000</v>
      </c>
      <c r="CZ26" s="16">
        <v>6943000</v>
      </c>
      <c r="DA26" s="16">
        <v>8901000</v>
      </c>
      <c r="DB26" s="16">
        <v>6910000</v>
      </c>
      <c r="DC26" s="16">
        <v>6308000</v>
      </c>
      <c r="DD26" s="16">
        <v>7020000</v>
      </c>
      <c r="DE26" s="22">
        <v>8421000</v>
      </c>
      <c r="DF26" s="16">
        <v>7512000</v>
      </c>
      <c r="DG26" s="16">
        <v>7725000</v>
      </c>
      <c r="DH26" s="16">
        <v>10500000</v>
      </c>
      <c r="DI26" s="16">
        <v>9490000</v>
      </c>
      <c r="DJ26" s="16">
        <v>10033000</v>
      </c>
      <c r="DK26" s="13">
        <v>10310000</v>
      </c>
      <c r="DL26" s="16">
        <v>7279000</v>
      </c>
      <c r="DM26" s="13">
        <v>6680000</v>
      </c>
      <c r="DN26" s="16">
        <v>7638000</v>
      </c>
      <c r="DO26" s="16">
        <v>7016000</v>
      </c>
      <c r="DP26" s="16">
        <v>6647000</v>
      </c>
      <c r="DQ26" s="16">
        <v>6861000</v>
      </c>
      <c r="DR26" s="16">
        <v>8538000</v>
      </c>
      <c r="DS26" s="16">
        <v>7943000</v>
      </c>
      <c r="DT26" s="16">
        <v>11795000</v>
      </c>
      <c r="DU26" s="16">
        <v>12489000</v>
      </c>
      <c r="DV26" s="16">
        <v>10904000</v>
      </c>
      <c r="DW26" s="13">
        <v>7567000</v>
      </c>
      <c r="DX26" s="16">
        <v>7438000</v>
      </c>
      <c r="DY26" s="16">
        <v>6859000</v>
      </c>
      <c r="DZ26" s="16">
        <v>6952000</v>
      </c>
      <c r="EA26" s="16">
        <v>7123000</v>
      </c>
      <c r="EB26" s="16">
        <v>6714000</v>
      </c>
      <c r="EC26" s="16">
        <v>7527000</v>
      </c>
      <c r="ED26" s="16">
        <v>9697000</v>
      </c>
      <c r="EE26" s="16">
        <v>7889000</v>
      </c>
      <c r="EF26" s="16">
        <v>11321000</v>
      </c>
      <c r="EG26" s="16">
        <v>11175000</v>
      </c>
      <c r="EH26" s="16">
        <v>9664000</v>
      </c>
      <c r="EI26" s="13">
        <v>7355000</v>
      </c>
      <c r="EJ26" s="13">
        <v>7960000</v>
      </c>
      <c r="EK26" s="16">
        <v>6029000</v>
      </c>
      <c r="EL26" s="16">
        <v>6193000</v>
      </c>
      <c r="EM26" s="16">
        <v>7048000</v>
      </c>
      <c r="EN26" s="16">
        <v>6837000</v>
      </c>
      <c r="EO26" s="16">
        <v>6863000</v>
      </c>
      <c r="EP26" s="16">
        <v>6515000</v>
      </c>
      <c r="EQ26" s="16">
        <v>9440000</v>
      </c>
      <c r="ER26" s="16">
        <v>8965000</v>
      </c>
      <c r="ES26" s="16">
        <v>12290000</v>
      </c>
      <c r="ET26" s="16">
        <v>10248000</v>
      </c>
      <c r="EU26" s="13">
        <v>9101000</v>
      </c>
      <c r="EV26" s="13">
        <v>9064000</v>
      </c>
      <c r="EW26" s="16">
        <v>7736000</v>
      </c>
      <c r="EX26" s="16">
        <v>7708000</v>
      </c>
      <c r="EY26" s="16">
        <v>7096000</v>
      </c>
      <c r="EZ26" s="16">
        <v>7288000</v>
      </c>
      <c r="FA26" s="16">
        <v>7585000</v>
      </c>
      <c r="FB26" s="356">
        <v>7585370</v>
      </c>
      <c r="FC26" s="357">
        <v>10372510</v>
      </c>
      <c r="FD26" s="357">
        <v>8643620</v>
      </c>
      <c r="FE26" s="358">
        <v>11979390</v>
      </c>
      <c r="FF26" s="16">
        <v>7791000</v>
      </c>
      <c r="FG26" s="13">
        <v>7277000</v>
      </c>
      <c r="FH26" s="16">
        <v>7626000</v>
      </c>
      <c r="FI26" s="16">
        <v>7863000</v>
      </c>
      <c r="FJ26" s="16">
        <v>6580000</v>
      </c>
      <c r="FK26" s="16">
        <v>6290000</v>
      </c>
      <c r="FL26" s="16">
        <v>6473000</v>
      </c>
      <c r="FM26" s="16">
        <v>6633000</v>
      </c>
      <c r="FN26" s="16">
        <v>6523000</v>
      </c>
      <c r="FO26" s="16">
        <v>8701000</v>
      </c>
      <c r="FP26" s="16">
        <v>10254000</v>
      </c>
      <c r="FQ26" s="16">
        <v>10658000</v>
      </c>
      <c r="FR26" s="16">
        <v>8863000</v>
      </c>
      <c r="FS26" s="13">
        <v>8418000</v>
      </c>
      <c r="FT26" s="16">
        <v>6832000</v>
      </c>
      <c r="FU26" s="16">
        <v>6295000</v>
      </c>
      <c r="FV26" s="16">
        <v>8287000</v>
      </c>
      <c r="FW26" s="16">
        <v>5612000</v>
      </c>
      <c r="FX26" s="16">
        <v>5796000</v>
      </c>
      <c r="FY26" s="16">
        <v>5100000</v>
      </c>
      <c r="FZ26" s="16">
        <v>6301000</v>
      </c>
      <c r="GA26" s="16">
        <v>9443000</v>
      </c>
      <c r="GB26" s="197">
        <v>10575000</v>
      </c>
      <c r="GC26" s="16">
        <v>9707000</v>
      </c>
      <c r="GD26" s="16">
        <v>9556000</v>
      </c>
      <c r="GE26" s="13">
        <v>7625000</v>
      </c>
      <c r="GF26" s="416">
        <v>7240000</v>
      </c>
      <c r="GG26" s="415">
        <v>7872000</v>
      </c>
    </row>
    <row r="27" spans="2:188" ht="14.25">
      <c r="B27" s="13">
        <v>7355000</v>
      </c>
      <c r="C27" s="16">
        <v>10066000</v>
      </c>
      <c r="D27" s="16">
        <v>10536000</v>
      </c>
      <c r="E27" s="16">
        <v>13259000</v>
      </c>
      <c r="F27" s="16">
        <v>9610000</v>
      </c>
      <c r="G27" s="16">
        <v>7524000</v>
      </c>
      <c r="H27" s="16">
        <v>8318000</v>
      </c>
      <c r="I27" s="16">
        <v>6978000</v>
      </c>
      <c r="J27" s="16">
        <v>7520000</v>
      </c>
      <c r="K27" s="16">
        <v>7785000</v>
      </c>
      <c r="L27" s="16">
        <v>8310000</v>
      </c>
      <c r="M27" s="16">
        <v>7307000</v>
      </c>
      <c r="N27" s="16">
        <v>9202000</v>
      </c>
      <c r="O27" s="16">
        <v>9135000</v>
      </c>
      <c r="P27" s="16">
        <v>7875000</v>
      </c>
      <c r="Q27" s="16">
        <v>9223000</v>
      </c>
      <c r="R27" s="16">
        <v>10566000</v>
      </c>
      <c r="S27" s="16">
        <v>8413000</v>
      </c>
      <c r="T27" s="16">
        <v>8681000</v>
      </c>
      <c r="U27" s="16">
        <v>7792000</v>
      </c>
      <c r="V27" s="16">
        <v>7348000</v>
      </c>
      <c r="W27" s="16">
        <v>8167000</v>
      </c>
      <c r="X27" s="16">
        <v>7229000</v>
      </c>
      <c r="Y27" s="16">
        <v>8250000</v>
      </c>
      <c r="Z27" s="16">
        <v>9636000</v>
      </c>
      <c r="AA27" s="16">
        <v>9830000</v>
      </c>
      <c r="AB27" s="16">
        <v>12589000</v>
      </c>
      <c r="AC27" s="16">
        <v>10270000</v>
      </c>
      <c r="AD27" s="16">
        <v>8032000</v>
      </c>
      <c r="AE27" s="16">
        <v>8023000</v>
      </c>
      <c r="AF27" s="16">
        <v>8308000</v>
      </c>
      <c r="AG27" s="13">
        <v>7062000</v>
      </c>
      <c r="AH27" s="16">
        <v>7468000</v>
      </c>
      <c r="AI27" s="16">
        <v>6982000</v>
      </c>
      <c r="AJ27" s="16">
        <v>6701000</v>
      </c>
      <c r="AK27" s="16">
        <v>6402000</v>
      </c>
      <c r="AL27" s="16">
        <v>8433000</v>
      </c>
      <c r="AM27" s="16">
        <v>9294000</v>
      </c>
      <c r="AN27" s="16">
        <v>8980000</v>
      </c>
      <c r="AO27" s="16">
        <v>10997000</v>
      </c>
      <c r="AP27" s="16">
        <v>7824000</v>
      </c>
      <c r="AQ27" s="16">
        <v>6876000</v>
      </c>
      <c r="AR27" s="16">
        <v>7169000</v>
      </c>
      <c r="AS27" s="13">
        <v>6196000</v>
      </c>
      <c r="AT27" s="16">
        <v>6660000</v>
      </c>
      <c r="AU27" s="16">
        <v>6099000</v>
      </c>
      <c r="AV27" s="16">
        <v>7237000</v>
      </c>
      <c r="AW27" s="16">
        <v>5696000</v>
      </c>
      <c r="AX27" s="16">
        <v>7213000</v>
      </c>
      <c r="AY27" s="16">
        <v>7190000</v>
      </c>
      <c r="AZ27" s="16">
        <v>8594000</v>
      </c>
      <c r="BA27" s="16">
        <v>10123000</v>
      </c>
      <c r="BB27" s="16">
        <v>8323000</v>
      </c>
      <c r="BC27" s="13">
        <v>7208000</v>
      </c>
      <c r="BD27" s="16">
        <v>6794000</v>
      </c>
      <c r="BE27" s="16">
        <v>7037000</v>
      </c>
      <c r="BF27" s="16">
        <v>7007000</v>
      </c>
      <c r="BG27" s="16">
        <v>7451000</v>
      </c>
      <c r="BH27" s="16">
        <v>6205000</v>
      </c>
      <c r="BI27" s="16">
        <v>7598000</v>
      </c>
      <c r="BJ27" s="16">
        <v>8544000</v>
      </c>
      <c r="BK27" s="16">
        <v>10854000</v>
      </c>
      <c r="BL27" s="16">
        <v>10990000</v>
      </c>
      <c r="BM27" s="16">
        <v>9869000</v>
      </c>
      <c r="BN27" s="16">
        <v>8498000</v>
      </c>
      <c r="BO27" s="13">
        <v>8847000</v>
      </c>
      <c r="BP27" s="16">
        <v>7593000</v>
      </c>
      <c r="BQ27" s="16">
        <v>6307000</v>
      </c>
      <c r="BR27" s="16">
        <v>7923000</v>
      </c>
      <c r="BS27" s="16">
        <v>8604000</v>
      </c>
      <c r="BT27" s="16">
        <v>8117000</v>
      </c>
      <c r="BU27" s="16">
        <v>7882000</v>
      </c>
      <c r="BV27" s="16">
        <v>7932000</v>
      </c>
      <c r="BW27" s="16">
        <v>9338000</v>
      </c>
      <c r="BX27" s="16">
        <v>7506000</v>
      </c>
      <c r="BY27" s="16">
        <v>10486000</v>
      </c>
      <c r="BZ27" s="16">
        <v>11266000</v>
      </c>
      <c r="CA27" s="13">
        <v>7941000</v>
      </c>
      <c r="CB27" s="16">
        <v>7124000</v>
      </c>
      <c r="CC27" s="13">
        <v>7084000</v>
      </c>
      <c r="CD27" s="16">
        <v>7029000</v>
      </c>
      <c r="CE27" s="16">
        <v>7672000</v>
      </c>
      <c r="CF27" s="16">
        <v>8551000</v>
      </c>
      <c r="CG27" s="16">
        <v>7761000</v>
      </c>
      <c r="CH27" s="16">
        <v>9711000</v>
      </c>
      <c r="CI27" s="16">
        <v>11321000</v>
      </c>
      <c r="CJ27" s="16">
        <v>11348000</v>
      </c>
      <c r="CK27" s="16">
        <v>11828000</v>
      </c>
      <c r="CL27" s="16">
        <v>11464000</v>
      </c>
      <c r="CM27" s="13">
        <v>7061000</v>
      </c>
      <c r="CN27" s="16">
        <v>6779000</v>
      </c>
      <c r="CO27" s="13">
        <v>7289000</v>
      </c>
      <c r="CP27" s="16">
        <v>7091000</v>
      </c>
      <c r="CQ27" s="16">
        <v>6333000</v>
      </c>
      <c r="CR27" s="16">
        <v>7814000</v>
      </c>
      <c r="CS27" s="16">
        <v>7417000</v>
      </c>
      <c r="CT27" s="16">
        <v>7901000</v>
      </c>
      <c r="CU27" s="16">
        <v>11190000</v>
      </c>
      <c r="CV27" s="16">
        <v>11343000</v>
      </c>
      <c r="CW27" s="16">
        <v>11199000</v>
      </c>
      <c r="CX27" s="16">
        <v>10019000</v>
      </c>
      <c r="CY27" s="13">
        <v>8607000</v>
      </c>
      <c r="CZ27" s="16">
        <v>7983000</v>
      </c>
      <c r="DA27" s="13">
        <v>6444000</v>
      </c>
      <c r="DB27" s="16">
        <v>7794000</v>
      </c>
      <c r="DC27" s="16">
        <v>7128000</v>
      </c>
      <c r="DD27" s="16">
        <v>6905000</v>
      </c>
      <c r="DE27" s="22">
        <v>7460000</v>
      </c>
      <c r="DF27" s="16">
        <v>8242000</v>
      </c>
      <c r="DG27" s="16">
        <v>9820000</v>
      </c>
      <c r="DH27" s="16">
        <v>11377000</v>
      </c>
      <c r="DI27" s="16">
        <v>10868000</v>
      </c>
      <c r="DJ27" s="16">
        <v>10774000</v>
      </c>
      <c r="DK27" s="13">
        <v>9941000</v>
      </c>
      <c r="DL27" s="16">
        <v>7287000</v>
      </c>
      <c r="DM27" s="13">
        <v>7068000</v>
      </c>
      <c r="DN27" s="16">
        <v>9892000</v>
      </c>
      <c r="DO27" s="16">
        <v>7102000</v>
      </c>
      <c r="DP27" s="16">
        <v>6309000</v>
      </c>
      <c r="DQ27" s="16">
        <v>7635000</v>
      </c>
      <c r="DR27" s="16">
        <v>8551000</v>
      </c>
      <c r="DS27" s="16">
        <v>8158000</v>
      </c>
      <c r="DT27" s="16">
        <v>11431000</v>
      </c>
      <c r="DU27" s="16">
        <v>11570000</v>
      </c>
      <c r="DV27" s="16">
        <v>10607000</v>
      </c>
      <c r="DW27" s="13">
        <v>7750000</v>
      </c>
      <c r="DX27" s="16">
        <v>7803000</v>
      </c>
      <c r="DY27" s="16">
        <v>6669000</v>
      </c>
      <c r="DZ27" s="16">
        <v>6638000</v>
      </c>
      <c r="EA27" s="16">
        <v>8242000</v>
      </c>
      <c r="EB27" s="16">
        <v>6741000</v>
      </c>
      <c r="EC27" s="16">
        <v>7267000</v>
      </c>
      <c r="ED27" s="16">
        <v>9278000</v>
      </c>
      <c r="EE27" s="16">
        <v>8678000</v>
      </c>
      <c r="EF27" s="16">
        <v>10511000</v>
      </c>
      <c r="EG27" s="16">
        <v>10213000</v>
      </c>
      <c r="EH27" s="16">
        <v>8247000</v>
      </c>
      <c r="EI27" s="13">
        <v>7632000</v>
      </c>
      <c r="EJ27" s="16">
        <v>6844000</v>
      </c>
      <c r="EK27" s="16">
        <v>6960000</v>
      </c>
      <c r="EL27" s="16">
        <v>7080000</v>
      </c>
      <c r="EM27" s="16">
        <v>6633000</v>
      </c>
      <c r="EN27" s="16">
        <v>5827000</v>
      </c>
      <c r="EO27" s="16">
        <v>6587000</v>
      </c>
      <c r="EP27" s="16">
        <v>6806000</v>
      </c>
      <c r="EQ27" s="16">
        <v>10110000</v>
      </c>
      <c r="ER27" s="16">
        <v>9349000</v>
      </c>
      <c r="ES27" s="16">
        <v>10425000</v>
      </c>
      <c r="ET27" s="16">
        <v>9753000</v>
      </c>
      <c r="EU27" s="13">
        <v>9707000</v>
      </c>
      <c r="EV27" s="13">
        <v>8252000</v>
      </c>
      <c r="EW27" s="16">
        <v>8933000</v>
      </c>
      <c r="EX27" s="16">
        <v>7798000</v>
      </c>
      <c r="EY27" s="16">
        <v>7796000</v>
      </c>
      <c r="EZ27" s="16">
        <v>7349000</v>
      </c>
      <c r="FA27" s="16">
        <v>7048000</v>
      </c>
      <c r="FB27" s="356">
        <v>7540550</v>
      </c>
      <c r="FC27" s="357">
        <v>10109400</v>
      </c>
      <c r="FD27" s="357">
        <v>7272460</v>
      </c>
      <c r="FE27" s="358">
        <v>11146900</v>
      </c>
      <c r="FF27" s="16">
        <v>8357000</v>
      </c>
      <c r="FG27" s="13">
        <v>7620000</v>
      </c>
      <c r="FH27" s="16">
        <v>7853000</v>
      </c>
      <c r="FI27" s="13">
        <v>7610000</v>
      </c>
      <c r="FJ27" s="16">
        <v>6493000</v>
      </c>
      <c r="FK27" s="16">
        <v>6577000</v>
      </c>
      <c r="FL27" s="16">
        <v>5809000</v>
      </c>
      <c r="FM27" s="16">
        <v>7825000</v>
      </c>
      <c r="FN27" s="16">
        <v>7217000</v>
      </c>
      <c r="FO27" s="16">
        <v>8324000</v>
      </c>
      <c r="FP27" s="16">
        <v>8487000</v>
      </c>
      <c r="FQ27" s="16">
        <v>10232000</v>
      </c>
      <c r="FR27" s="16">
        <v>9424000</v>
      </c>
      <c r="FS27" s="13">
        <v>8166000</v>
      </c>
      <c r="FT27" s="16">
        <v>6786000</v>
      </c>
      <c r="FU27" s="13">
        <v>6018000</v>
      </c>
      <c r="FV27" s="16">
        <v>7437000</v>
      </c>
      <c r="FW27" s="16">
        <v>7502000</v>
      </c>
      <c r="FX27" s="16">
        <v>6163000</v>
      </c>
      <c r="FY27" s="16">
        <v>5366000</v>
      </c>
      <c r="FZ27" s="16">
        <v>5870000</v>
      </c>
      <c r="GA27" s="16">
        <v>9597000</v>
      </c>
      <c r="GB27" s="197">
        <v>8866000</v>
      </c>
      <c r="GC27" s="16">
        <v>9864000</v>
      </c>
      <c r="GD27" s="16">
        <v>10145000</v>
      </c>
      <c r="GE27" s="13">
        <v>7826000</v>
      </c>
      <c r="GF27" s="416">
        <v>7949000</v>
      </c>
    </row>
    <row r="28" spans="2:188" ht="14.25">
      <c r="B28" s="13">
        <v>9013000</v>
      </c>
      <c r="C28" s="16">
        <v>11610000</v>
      </c>
      <c r="D28" s="16">
        <v>10613000</v>
      </c>
      <c r="E28" s="16">
        <v>11442000</v>
      </c>
      <c r="F28" s="16">
        <v>10885000</v>
      </c>
      <c r="G28" s="16">
        <v>8332000</v>
      </c>
      <c r="H28" s="22">
        <v>8072000</v>
      </c>
      <c r="I28" s="16">
        <v>7214000</v>
      </c>
      <c r="J28" s="16">
        <v>10510000</v>
      </c>
      <c r="K28" s="16">
        <v>7817000</v>
      </c>
      <c r="L28" s="16">
        <v>7516000</v>
      </c>
      <c r="M28" s="16">
        <v>10051000</v>
      </c>
      <c r="N28" s="16">
        <v>8922000</v>
      </c>
      <c r="O28" s="16">
        <v>9225000</v>
      </c>
      <c r="P28" s="16">
        <v>8907000</v>
      </c>
      <c r="Q28" s="16">
        <v>9701000</v>
      </c>
      <c r="R28" s="16">
        <v>9839000</v>
      </c>
      <c r="S28" s="16">
        <v>8572000</v>
      </c>
      <c r="T28" s="16">
        <v>8432000</v>
      </c>
      <c r="U28" s="16">
        <v>6814000</v>
      </c>
      <c r="V28" s="16">
        <v>7500000</v>
      </c>
      <c r="W28" s="16">
        <v>7034000</v>
      </c>
      <c r="X28" s="16">
        <v>8690000</v>
      </c>
      <c r="Y28" s="16">
        <v>8162000</v>
      </c>
      <c r="Z28" s="16">
        <v>8390000</v>
      </c>
      <c r="AA28" s="16">
        <v>8955000</v>
      </c>
      <c r="AB28" s="16">
        <v>12078000</v>
      </c>
      <c r="AC28" s="16">
        <v>9934000</v>
      </c>
      <c r="AD28" s="16">
        <v>8643000</v>
      </c>
      <c r="AE28" s="16">
        <v>8210000</v>
      </c>
      <c r="AF28" s="16">
        <v>7889000</v>
      </c>
      <c r="AG28" s="13">
        <v>7016000</v>
      </c>
      <c r="AH28" s="16">
        <v>6906000</v>
      </c>
      <c r="AI28" s="16">
        <v>6769000</v>
      </c>
      <c r="AJ28" s="16">
        <v>6970000</v>
      </c>
      <c r="AK28" s="16">
        <v>6238000</v>
      </c>
      <c r="AL28" s="16">
        <v>7858000</v>
      </c>
      <c r="AM28" s="16">
        <v>9957000</v>
      </c>
      <c r="AN28" s="16">
        <v>9098000</v>
      </c>
      <c r="AO28" s="16">
        <v>10686000</v>
      </c>
      <c r="AP28" s="16">
        <v>7371000</v>
      </c>
      <c r="AQ28" s="16">
        <v>6302000</v>
      </c>
      <c r="AR28" s="16">
        <v>7852000</v>
      </c>
      <c r="AS28" s="13">
        <v>5561000</v>
      </c>
      <c r="AT28" s="16">
        <v>6026000</v>
      </c>
      <c r="AU28" s="16">
        <v>7835000</v>
      </c>
      <c r="AV28" s="16">
        <v>5251000</v>
      </c>
      <c r="AW28" s="16">
        <v>8198000</v>
      </c>
      <c r="AX28" s="16">
        <v>6524000</v>
      </c>
      <c r="AY28" s="16">
        <v>5870000</v>
      </c>
      <c r="AZ28" s="16">
        <v>10302000</v>
      </c>
      <c r="BA28" s="16">
        <v>9144000</v>
      </c>
      <c r="BB28" s="16">
        <v>7902000</v>
      </c>
      <c r="BC28" s="13">
        <v>6033000</v>
      </c>
      <c r="BD28" s="16">
        <v>6565000</v>
      </c>
      <c r="BE28" s="13">
        <v>6767000</v>
      </c>
      <c r="BF28" s="16">
        <v>6822000</v>
      </c>
      <c r="BG28" s="16">
        <v>8194251</v>
      </c>
      <c r="BH28" s="16">
        <v>6994000</v>
      </c>
      <c r="BI28" s="16">
        <v>7010000</v>
      </c>
      <c r="BJ28" s="16">
        <v>7877000</v>
      </c>
      <c r="BK28" s="197">
        <v>7696000</v>
      </c>
      <c r="BL28" s="16">
        <v>11564000</v>
      </c>
      <c r="BM28" s="16">
        <v>8490000</v>
      </c>
      <c r="BN28" s="16">
        <v>7896000</v>
      </c>
      <c r="BO28" s="13">
        <v>9322000</v>
      </c>
      <c r="BP28" s="16">
        <v>7839000</v>
      </c>
      <c r="BQ28" s="13">
        <v>7106000</v>
      </c>
      <c r="BR28" s="16">
        <v>6932000</v>
      </c>
      <c r="BS28" s="16">
        <v>8335000</v>
      </c>
      <c r="BT28" s="16">
        <v>7736000</v>
      </c>
      <c r="BU28" s="16">
        <v>7200000</v>
      </c>
      <c r="BV28" s="16">
        <v>7758000</v>
      </c>
      <c r="BW28" s="197">
        <v>9502000</v>
      </c>
      <c r="BX28" s="16">
        <v>7729000</v>
      </c>
      <c r="BY28" s="16">
        <v>11055000</v>
      </c>
      <c r="BZ28" s="16">
        <v>11092000</v>
      </c>
      <c r="CA28" s="13">
        <v>8975000</v>
      </c>
      <c r="CB28" s="16">
        <v>6771000</v>
      </c>
      <c r="CC28" s="13">
        <v>7327000</v>
      </c>
      <c r="CD28" s="16">
        <v>6855000</v>
      </c>
      <c r="CE28" s="16">
        <v>7105000</v>
      </c>
      <c r="CF28" s="16">
        <v>8387000</v>
      </c>
      <c r="CG28" s="16">
        <v>7711000</v>
      </c>
      <c r="CH28" s="16">
        <v>9466000</v>
      </c>
      <c r="CI28" s="16">
        <v>12346000</v>
      </c>
      <c r="CJ28" s="16">
        <v>11724000</v>
      </c>
      <c r="CK28" s="16">
        <v>10675000</v>
      </c>
      <c r="CL28" s="16">
        <v>11293000</v>
      </c>
      <c r="CM28" s="13">
        <v>7508000</v>
      </c>
      <c r="CN28" s="16">
        <v>8238000</v>
      </c>
      <c r="CO28" s="13">
        <v>6867000</v>
      </c>
      <c r="CP28" s="16">
        <v>7266000</v>
      </c>
      <c r="CQ28" s="16">
        <v>6377000</v>
      </c>
      <c r="CR28" s="16">
        <v>6707000</v>
      </c>
      <c r="CS28" s="16">
        <v>7271000</v>
      </c>
      <c r="CT28" s="16">
        <v>7303000</v>
      </c>
      <c r="CU28" s="16">
        <v>9647000</v>
      </c>
      <c r="CV28" s="16">
        <v>12037000</v>
      </c>
      <c r="CW28" s="16">
        <v>11568000</v>
      </c>
      <c r="CX28" s="16">
        <v>11207000</v>
      </c>
      <c r="CY28" s="13">
        <v>8683000</v>
      </c>
      <c r="CZ28" s="16">
        <v>7751000</v>
      </c>
      <c r="DA28" s="13">
        <v>6349000</v>
      </c>
      <c r="DB28" s="16">
        <v>7734000</v>
      </c>
      <c r="DC28" s="16">
        <v>6884000</v>
      </c>
      <c r="DD28" s="16">
        <v>6149000</v>
      </c>
      <c r="DE28" s="22">
        <v>6628000</v>
      </c>
      <c r="DF28" s="16">
        <v>7809000</v>
      </c>
      <c r="DG28" s="16">
        <v>7424000</v>
      </c>
      <c r="DH28" s="16">
        <v>9961000</v>
      </c>
      <c r="DI28" s="16">
        <v>9497000</v>
      </c>
      <c r="DJ28" s="16">
        <v>8529000</v>
      </c>
      <c r="DK28" s="13">
        <v>9683000</v>
      </c>
      <c r="DL28" s="16">
        <v>7250000</v>
      </c>
      <c r="DM28" s="13">
        <v>7836000</v>
      </c>
      <c r="DN28" s="16">
        <v>7482000</v>
      </c>
      <c r="DO28" s="16">
        <v>8954000</v>
      </c>
      <c r="DP28" s="16">
        <v>6882000</v>
      </c>
      <c r="DQ28" s="16">
        <v>7305000</v>
      </c>
      <c r="DR28" s="16">
        <v>8513000</v>
      </c>
      <c r="DS28" s="16">
        <v>10343000</v>
      </c>
      <c r="DT28" s="16">
        <v>9657000</v>
      </c>
      <c r="DU28" s="16">
        <v>10466000</v>
      </c>
      <c r="DV28" s="16">
        <v>11245000</v>
      </c>
      <c r="DW28" s="13">
        <v>7013000</v>
      </c>
      <c r="DX28" s="16">
        <v>6654000</v>
      </c>
      <c r="DY28" s="13">
        <v>6635000</v>
      </c>
      <c r="DZ28" s="16">
        <v>6976000</v>
      </c>
      <c r="EA28" s="16">
        <v>7296000</v>
      </c>
      <c r="EB28" s="16">
        <v>7352000</v>
      </c>
      <c r="EC28" s="16">
        <v>6886000</v>
      </c>
      <c r="ED28" s="16">
        <v>8753000</v>
      </c>
      <c r="EE28" s="16">
        <v>8352000</v>
      </c>
      <c r="EF28" s="16">
        <v>10996000</v>
      </c>
      <c r="EG28" s="16">
        <v>11070000</v>
      </c>
      <c r="EH28" s="16">
        <v>8791000</v>
      </c>
      <c r="EI28" s="13">
        <v>7495000</v>
      </c>
      <c r="EJ28" s="16">
        <v>5564000</v>
      </c>
      <c r="EK28" s="13">
        <v>5759000</v>
      </c>
      <c r="EL28" s="16">
        <v>6553000</v>
      </c>
      <c r="EM28" s="16">
        <v>6110000</v>
      </c>
      <c r="EN28" s="16">
        <v>6875000</v>
      </c>
      <c r="EO28" s="16">
        <v>6326000</v>
      </c>
      <c r="EP28" s="16">
        <v>6750000</v>
      </c>
      <c r="EQ28" s="16">
        <v>9927000</v>
      </c>
      <c r="ER28" s="16">
        <v>10923000</v>
      </c>
      <c r="ES28" s="16">
        <v>12221000</v>
      </c>
      <c r="ET28" s="16">
        <v>9633000</v>
      </c>
      <c r="EU28" s="13">
        <v>9903000</v>
      </c>
      <c r="EV28" s="13">
        <v>7745000</v>
      </c>
      <c r="EW28" s="16">
        <v>9363000</v>
      </c>
      <c r="EX28" s="16">
        <v>7798000</v>
      </c>
      <c r="EY28" s="16">
        <v>7547000</v>
      </c>
      <c r="EZ28" s="16">
        <v>6968000</v>
      </c>
      <c r="FA28" s="16">
        <v>7231000</v>
      </c>
      <c r="FB28" s="356">
        <v>7412730</v>
      </c>
      <c r="FC28" s="357">
        <v>9772420</v>
      </c>
      <c r="FD28" s="357">
        <v>7902430</v>
      </c>
      <c r="FE28" s="358">
        <v>9920160</v>
      </c>
      <c r="FF28" s="16">
        <v>8142000</v>
      </c>
      <c r="FG28" s="13">
        <v>6844000</v>
      </c>
      <c r="FH28" s="16">
        <v>7270000</v>
      </c>
      <c r="FI28" s="13">
        <v>7423000</v>
      </c>
      <c r="FJ28" s="16">
        <v>6139000</v>
      </c>
      <c r="FK28" s="16">
        <v>7067000</v>
      </c>
      <c r="FL28" s="16">
        <v>5668000</v>
      </c>
      <c r="FM28" s="16">
        <v>7685000</v>
      </c>
      <c r="FN28" s="16">
        <v>6358000</v>
      </c>
      <c r="FO28" s="16">
        <v>9209000</v>
      </c>
      <c r="FP28" s="16">
        <v>8474000</v>
      </c>
      <c r="FQ28" s="16">
        <v>11111000</v>
      </c>
      <c r="FR28" s="16">
        <v>9067000</v>
      </c>
      <c r="FS28" s="13">
        <v>6891000</v>
      </c>
      <c r="FT28" s="16">
        <v>6822000</v>
      </c>
      <c r="FU28" s="13">
        <v>4980000</v>
      </c>
      <c r="FV28" s="16">
        <v>6797000</v>
      </c>
      <c r="FW28" s="16">
        <v>6957000</v>
      </c>
      <c r="FX28" s="16">
        <v>6268000</v>
      </c>
      <c r="FY28" s="16">
        <v>7208000</v>
      </c>
      <c r="FZ28" s="16">
        <v>6100000</v>
      </c>
      <c r="GA28" s="16">
        <v>6035000</v>
      </c>
      <c r="GB28" s="197">
        <v>9410000</v>
      </c>
      <c r="GC28" s="16">
        <v>10587000</v>
      </c>
      <c r="GD28" s="16">
        <v>9558000</v>
      </c>
      <c r="GE28" s="13">
        <v>7616000</v>
      </c>
      <c r="GF28" s="416">
        <v>7051000</v>
      </c>
    </row>
    <row r="29" spans="2:188" ht="14.25">
      <c r="B29" s="13">
        <v>9477000</v>
      </c>
      <c r="C29" s="16">
        <v>11901000</v>
      </c>
      <c r="D29" s="16">
        <v>9673000</v>
      </c>
      <c r="E29" s="16">
        <v>10660000</v>
      </c>
      <c r="F29" s="16">
        <v>10905000</v>
      </c>
      <c r="G29" s="16">
        <v>8611000</v>
      </c>
      <c r="H29" s="22">
        <v>7890000</v>
      </c>
      <c r="I29" s="16">
        <v>7895000</v>
      </c>
      <c r="J29" s="16">
        <v>10454000</v>
      </c>
      <c r="K29" s="16">
        <v>7472000</v>
      </c>
      <c r="L29" s="16">
        <v>7496000</v>
      </c>
      <c r="M29" s="16">
        <v>6160000</v>
      </c>
      <c r="N29" s="16">
        <v>8720000</v>
      </c>
      <c r="O29" s="16">
        <v>8729000</v>
      </c>
      <c r="P29" s="16">
        <v>9005000</v>
      </c>
      <c r="Q29" s="16">
        <v>10364000</v>
      </c>
      <c r="R29" s="16">
        <v>10318000</v>
      </c>
      <c r="S29" s="16">
        <v>8978000</v>
      </c>
      <c r="T29" s="16">
        <v>8077000</v>
      </c>
      <c r="U29" s="16">
        <v>7513000</v>
      </c>
      <c r="V29" s="16">
        <v>8521000</v>
      </c>
      <c r="W29" s="16">
        <v>7034000</v>
      </c>
      <c r="X29" s="16">
        <v>7363000</v>
      </c>
      <c r="Y29" s="16">
        <v>7922000</v>
      </c>
      <c r="Z29" s="16">
        <v>7148000</v>
      </c>
      <c r="AA29" s="16">
        <v>9306000</v>
      </c>
      <c r="AB29" s="16">
        <v>13050000</v>
      </c>
      <c r="AC29" s="16">
        <v>10502000</v>
      </c>
      <c r="AD29" s="16">
        <v>9545000</v>
      </c>
      <c r="AE29" s="16">
        <v>7843000</v>
      </c>
      <c r="AF29" s="16">
        <v>7531000</v>
      </c>
      <c r="AG29" s="13">
        <v>7015000</v>
      </c>
      <c r="AH29" s="16">
        <v>6242000</v>
      </c>
      <c r="AI29" s="16">
        <v>6944000</v>
      </c>
      <c r="AJ29" s="16">
        <v>6912000</v>
      </c>
      <c r="AK29" s="16">
        <v>7937000</v>
      </c>
      <c r="AL29" s="16">
        <v>8543000</v>
      </c>
      <c r="AM29" s="16">
        <v>10801000</v>
      </c>
      <c r="AN29" s="16">
        <v>9993000</v>
      </c>
      <c r="AO29" s="16">
        <v>10898000</v>
      </c>
      <c r="AP29" s="16">
        <v>7611000</v>
      </c>
      <c r="AQ29" s="16">
        <v>6725000</v>
      </c>
      <c r="AR29" s="16">
        <v>7094000</v>
      </c>
      <c r="AS29" s="13">
        <v>6403000</v>
      </c>
      <c r="AT29" s="16">
        <v>6753000</v>
      </c>
      <c r="AU29" s="16">
        <v>4292000</v>
      </c>
      <c r="AV29" s="16">
        <v>3472000</v>
      </c>
      <c r="AW29" s="16">
        <v>4882000</v>
      </c>
      <c r="AX29" s="16">
        <v>5755000</v>
      </c>
      <c r="AY29" s="16">
        <v>5360000</v>
      </c>
      <c r="AZ29" s="16">
        <v>11278000</v>
      </c>
      <c r="BA29" s="16">
        <v>8467000</v>
      </c>
      <c r="BB29" s="16">
        <v>7654000</v>
      </c>
      <c r="BC29" s="13">
        <v>5954000</v>
      </c>
      <c r="BD29" s="16">
        <v>6744000</v>
      </c>
      <c r="BE29" s="13">
        <v>7460000</v>
      </c>
      <c r="BF29" s="16">
        <v>6066000</v>
      </c>
      <c r="BG29" s="16">
        <v>6611480</v>
      </c>
      <c r="BH29" s="16">
        <v>6986000</v>
      </c>
      <c r="BI29" s="16">
        <v>6668000</v>
      </c>
      <c r="BJ29" s="16">
        <v>8467000</v>
      </c>
      <c r="BK29" s="16">
        <v>7988000</v>
      </c>
      <c r="BL29" s="16">
        <v>11998000</v>
      </c>
      <c r="BM29" s="16">
        <v>12102000</v>
      </c>
      <c r="BN29" s="16">
        <v>8679000</v>
      </c>
      <c r="BO29" s="13">
        <v>6748000</v>
      </c>
      <c r="BP29" s="16">
        <v>7426000</v>
      </c>
      <c r="BQ29" s="13">
        <v>7159000</v>
      </c>
      <c r="BR29" s="16">
        <v>8690000</v>
      </c>
      <c r="BS29" s="16">
        <v>7890000</v>
      </c>
      <c r="BT29" s="16">
        <v>7664000</v>
      </c>
      <c r="BU29" s="16">
        <v>8035000</v>
      </c>
      <c r="BV29" s="16">
        <v>6926000</v>
      </c>
      <c r="BW29" s="16">
        <v>10329000</v>
      </c>
      <c r="BX29" s="16">
        <v>11391000</v>
      </c>
      <c r="BY29" s="16">
        <v>10589000</v>
      </c>
      <c r="BZ29" s="16">
        <v>9342000</v>
      </c>
      <c r="CA29" s="13">
        <v>10339000</v>
      </c>
      <c r="CB29" s="16">
        <v>7340000</v>
      </c>
      <c r="CC29" s="13">
        <v>6979000</v>
      </c>
      <c r="CD29" s="16">
        <v>7708000</v>
      </c>
      <c r="CE29" s="16">
        <v>8231000</v>
      </c>
      <c r="CF29" s="16">
        <v>9100000</v>
      </c>
      <c r="CG29" s="16">
        <v>9096000</v>
      </c>
      <c r="CH29" s="16">
        <v>9145000</v>
      </c>
      <c r="CI29" s="197">
        <v>11472000</v>
      </c>
      <c r="CJ29" s="16">
        <v>11587000</v>
      </c>
      <c r="CK29" s="16">
        <v>12076000</v>
      </c>
      <c r="CL29" s="16">
        <v>9221000</v>
      </c>
      <c r="CM29" s="13">
        <v>8025000</v>
      </c>
      <c r="CN29" s="16">
        <v>8393000</v>
      </c>
      <c r="CO29" s="13">
        <v>7281000</v>
      </c>
      <c r="CP29" s="16">
        <v>6698000</v>
      </c>
      <c r="CQ29" s="16">
        <v>7678000</v>
      </c>
      <c r="CR29" s="16">
        <v>7436000</v>
      </c>
      <c r="CS29" s="16">
        <v>7100000</v>
      </c>
      <c r="CT29" s="16">
        <v>7814000</v>
      </c>
      <c r="CU29" s="197">
        <v>8836000</v>
      </c>
      <c r="CV29" s="16">
        <v>10290000</v>
      </c>
      <c r="CW29" s="16">
        <v>8195000</v>
      </c>
      <c r="CX29" s="16">
        <v>7796000</v>
      </c>
      <c r="CY29" s="13">
        <v>8629000</v>
      </c>
      <c r="CZ29" s="16">
        <v>7547000</v>
      </c>
      <c r="DA29" s="13">
        <v>7114000</v>
      </c>
      <c r="DB29" s="16">
        <v>6880000</v>
      </c>
      <c r="DC29" s="16">
        <v>7876000</v>
      </c>
      <c r="DD29" s="16">
        <v>8366000</v>
      </c>
      <c r="DE29" s="22">
        <v>7287000</v>
      </c>
      <c r="DF29" s="16">
        <v>8598000</v>
      </c>
      <c r="DG29" s="16">
        <v>7698000</v>
      </c>
      <c r="DH29" s="16">
        <v>10634000</v>
      </c>
      <c r="DI29" s="16">
        <v>9347000</v>
      </c>
      <c r="DJ29" s="16">
        <v>9215000</v>
      </c>
      <c r="DK29" s="13">
        <v>9625000</v>
      </c>
      <c r="DL29" s="16">
        <v>7677000</v>
      </c>
      <c r="DM29" s="13">
        <v>7310000</v>
      </c>
      <c r="DN29" s="16">
        <v>7270000</v>
      </c>
      <c r="DO29" s="16">
        <v>6660000</v>
      </c>
      <c r="DP29" s="16">
        <v>6843000</v>
      </c>
      <c r="DQ29" s="16">
        <v>6785000</v>
      </c>
      <c r="DR29" s="16">
        <v>8079000</v>
      </c>
      <c r="DS29" s="16">
        <v>8939000</v>
      </c>
      <c r="DT29" s="16">
        <v>9678000</v>
      </c>
      <c r="DU29" s="16">
        <v>10129000</v>
      </c>
      <c r="DV29" s="16">
        <v>11925000</v>
      </c>
      <c r="DW29" s="13">
        <v>9199000</v>
      </c>
      <c r="DX29" s="16">
        <v>8036000</v>
      </c>
      <c r="DY29" s="13">
        <v>7495000</v>
      </c>
      <c r="DZ29" s="16">
        <v>6927000</v>
      </c>
      <c r="EA29" s="16">
        <v>7422000</v>
      </c>
      <c r="EB29" s="16">
        <v>7063000</v>
      </c>
      <c r="EC29" s="16">
        <v>6402000</v>
      </c>
      <c r="ED29" s="16">
        <v>7722000</v>
      </c>
      <c r="EE29" s="16">
        <v>8865000</v>
      </c>
      <c r="EF29" s="16">
        <v>9337000</v>
      </c>
      <c r="EG29" s="16">
        <v>11094000</v>
      </c>
      <c r="EH29" s="16">
        <v>8436000</v>
      </c>
      <c r="EI29" s="13">
        <v>9108000</v>
      </c>
      <c r="EJ29" s="16">
        <v>7163000</v>
      </c>
      <c r="EK29" s="13">
        <v>6925000</v>
      </c>
      <c r="EL29" s="16">
        <v>7352000</v>
      </c>
      <c r="EM29" s="16">
        <v>6478000</v>
      </c>
      <c r="EN29" s="16">
        <v>7084000</v>
      </c>
      <c r="EO29" s="16">
        <v>6947000</v>
      </c>
      <c r="EP29" s="16">
        <v>7325000</v>
      </c>
      <c r="EQ29" s="16">
        <v>9186000</v>
      </c>
      <c r="ER29" s="16">
        <v>11442000</v>
      </c>
      <c r="ES29" s="16">
        <v>12585000</v>
      </c>
      <c r="ET29" s="16">
        <v>12276000</v>
      </c>
      <c r="EU29" s="13">
        <v>10055000</v>
      </c>
      <c r="EV29" s="16">
        <v>8900000</v>
      </c>
      <c r="EW29" s="13">
        <v>7171000</v>
      </c>
      <c r="EX29" s="16">
        <v>8502000</v>
      </c>
      <c r="EY29" s="16">
        <v>7371000</v>
      </c>
      <c r="EZ29" s="16">
        <v>6709000</v>
      </c>
      <c r="FA29" s="16">
        <v>6841000</v>
      </c>
      <c r="FB29" s="356">
        <v>7896620</v>
      </c>
      <c r="FC29" s="357">
        <v>9581520</v>
      </c>
      <c r="FD29" s="357">
        <v>8337350</v>
      </c>
      <c r="FE29" s="358">
        <v>7191950</v>
      </c>
      <c r="FF29" s="16">
        <v>8282000</v>
      </c>
      <c r="FG29" s="13">
        <v>7574000</v>
      </c>
      <c r="FH29" s="16">
        <v>7205000</v>
      </c>
      <c r="FI29" s="13">
        <v>7818000</v>
      </c>
      <c r="FJ29" s="16">
        <v>7335000</v>
      </c>
      <c r="FK29" s="16">
        <v>6605000</v>
      </c>
      <c r="FL29" s="16">
        <v>6511000</v>
      </c>
      <c r="FM29" s="16">
        <v>6108000</v>
      </c>
      <c r="FN29" s="16">
        <v>7405000</v>
      </c>
      <c r="FO29" s="16">
        <v>9202000</v>
      </c>
      <c r="FP29" s="16">
        <v>9432000</v>
      </c>
      <c r="FQ29" s="16">
        <v>11409000</v>
      </c>
      <c r="FR29" s="16">
        <v>9332000</v>
      </c>
      <c r="FS29" s="13">
        <v>6283000</v>
      </c>
      <c r="FT29" s="16">
        <v>6732000</v>
      </c>
      <c r="FU29" s="13">
        <v>5707000</v>
      </c>
      <c r="FV29" s="16">
        <v>7218000</v>
      </c>
      <c r="FW29" s="16">
        <v>7379000</v>
      </c>
      <c r="FX29" s="16">
        <v>6287000</v>
      </c>
      <c r="FY29" s="16">
        <v>5933000</v>
      </c>
      <c r="FZ29" s="16">
        <v>6649000</v>
      </c>
      <c r="GA29" s="16">
        <v>6467000</v>
      </c>
      <c r="GB29" s="197">
        <v>8372000</v>
      </c>
      <c r="GC29" s="16">
        <v>10198000</v>
      </c>
      <c r="GD29" s="16">
        <v>8292000</v>
      </c>
      <c r="GE29" s="13">
        <v>7546000</v>
      </c>
      <c r="GF29" s="416">
        <v>7223000</v>
      </c>
    </row>
    <row r="30" spans="2:188" ht="14.25">
      <c r="B30" s="13">
        <v>9662000</v>
      </c>
      <c r="C30" s="16">
        <v>10586000</v>
      </c>
      <c r="D30" s="16">
        <v>8966000</v>
      </c>
      <c r="E30" s="16">
        <v>11826000</v>
      </c>
      <c r="F30" s="16">
        <v>11214000</v>
      </c>
      <c r="G30" s="16">
        <v>9579000</v>
      </c>
      <c r="H30" s="22">
        <v>8287000</v>
      </c>
      <c r="I30" s="16">
        <v>7550000</v>
      </c>
      <c r="J30" s="16">
        <v>9228000</v>
      </c>
      <c r="K30" s="16">
        <v>8097000</v>
      </c>
      <c r="L30" s="16">
        <v>8162000</v>
      </c>
      <c r="M30" s="16">
        <v>8420000</v>
      </c>
      <c r="N30" s="16">
        <v>7388000</v>
      </c>
      <c r="O30" s="16">
        <v>9504000</v>
      </c>
      <c r="P30" s="16">
        <v>8695000</v>
      </c>
      <c r="Q30" s="16">
        <v>9091000</v>
      </c>
      <c r="R30" s="16">
        <v>9800000</v>
      </c>
      <c r="S30" s="16">
        <v>8099000</v>
      </c>
      <c r="T30" s="16">
        <v>8080000</v>
      </c>
      <c r="U30" s="16">
        <v>7590000</v>
      </c>
      <c r="V30" s="16">
        <v>7102000</v>
      </c>
      <c r="W30" s="16">
        <v>7883000</v>
      </c>
      <c r="X30" s="16">
        <v>7851000</v>
      </c>
      <c r="Y30" s="16">
        <v>7938000</v>
      </c>
      <c r="Z30" s="16">
        <v>8737000</v>
      </c>
      <c r="AA30" s="16">
        <v>9254000</v>
      </c>
      <c r="AB30" s="16">
        <v>14785000</v>
      </c>
      <c r="AC30" s="16">
        <v>11830000</v>
      </c>
      <c r="AD30" s="16">
        <v>10098000</v>
      </c>
      <c r="AE30" s="16">
        <v>8319000</v>
      </c>
      <c r="AF30" s="16">
        <v>7474000</v>
      </c>
      <c r="AG30" s="13">
        <v>6694000</v>
      </c>
      <c r="AH30" s="16">
        <v>6979000</v>
      </c>
      <c r="AI30" s="16">
        <v>7196000</v>
      </c>
      <c r="AJ30" s="16">
        <v>7036000</v>
      </c>
      <c r="AK30" s="16">
        <v>7097000</v>
      </c>
      <c r="AL30" s="16">
        <v>7942000</v>
      </c>
      <c r="AM30" s="147">
        <v>11200000</v>
      </c>
      <c r="AN30" s="16">
        <v>11320000</v>
      </c>
      <c r="AO30" s="16">
        <v>8495000</v>
      </c>
      <c r="AP30" s="16">
        <v>7195000</v>
      </c>
      <c r="AQ30" s="16">
        <v>6913000</v>
      </c>
      <c r="AR30" s="16">
        <v>6477000</v>
      </c>
      <c r="AS30" s="13">
        <v>6403000</v>
      </c>
      <c r="AT30" s="16">
        <v>5942000</v>
      </c>
      <c r="AU30" s="16">
        <v>4618000</v>
      </c>
      <c r="AV30" s="16">
        <v>4317000</v>
      </c>
      <c r="AW30" s="16">
        <v>4735000</v>
      </c>
      <c r="AX30" s="16">
        <v>9226000</v>
      </c>
      <c r="AY30" s="16">
        <v>5256000</v>
      </c>
      <c r="AZ30" s="16">
        <v>9272000</v>
      </c>
      <c r="BA30" s="16">
        <v>8595000</v>
      </c>
      <c r="BB30" s="16">
        <v>6627000</v>
      </c>
      <c r="BC30" s="13">
        <v>6862000</v>
      </c>
      <c r="BD30" s="16">
        <v>6831000</v>
      </c>
      <c r="BE30" s="13">
        <v>5795000</v>
      </c>
      <c r="BF30" s="16">
        <v>7687000</v>
      </c>
      <c r="BG30" s="16">
        <v>8278207</v>
      </c>
      <c r="BH30" s="16">
        <v>6417000</v>
      </c>
      <c r="BI30" s="16">
        <v>6624000</v>
      </c>
      <c r="BJ30" s="16">
        <v>7918000</v>
      </c>
      <c r="BK30" s="16">
        <v>5721000</v>
      </c>
      <c r="BL30" s="16">
        <v>11506000</v>
      </c>
      <c r="BM30" s="16">
        <v>9017000</v>
      </c>
      <c r="BN30" s="16">
        <v>8319000</v>
      </c>
      <c r="BO30" s="13">
        <v>8319000</v>
      </c>
      <c r="BP30" s="16">
        <v>7677000</v>
      </c>
      <c r="BQ30" s="13">
        <v>7990000</v>
      </c>
      <c r="BR30" s="16">
        <v>9514000</v>
      </c>
      <c r="BS30" s="16">
        <v>7884000</v>
      </c>
      <c r="BT30" s="16">
        <v>7912000</v>
      </c>
      <c r="BU30" s="16">
        <v>7751000</v>
      </c>
      <c r="BV30" s="16">
        <v>8620000</v>
      </c>
      <c r="BW30" s="16">
        <v>10763000</v>
      </c>
      <c r="BX30" s="16">
        <v>14737000</v>
      </c>
      <c r="BY30" s="16">
        <v>10152000</v>
      </c>
      <c r="BZ30" s="16">
        <v>9455000</v>
      </c>
      <c r="CA30" s="13">
        <v>10601000</v>
      </c>
      <c r="CB30" s="16">
        <v>7660000</v>
      </c>
      <c r="CC30" s="13">
        <v>6982000</v>
      </c>
      <c r="CD30" s="16">
        <v>7242000</v>
      </c>
      <c r="CE30" s="16">
        <v>8440000</v>
      </c>
      <c r="CF30" s="16">
        <v>8107000</v>
      </c>
      <c r="CG30" s="16">
        <v>7802000</v>
      </c>
      <c r="CH30" s="16">
        <v>11456000</v>
      </c>
      <c r="CI30" s="16">
        <v>12849000</v>
      </c>
      <c r="CJ30" s="16">
        <v>11433000</v>
      </c>
      <c r="CK30" s="16">
        <v>11202000</v>
      </c>
      <c r="CL30" s="16">
        <v>11106000</v>
      </c>
      <c r="CM30" s="13">
        <v>8883000</v>
      </c>
      <c r="CN30" s="16">
        <v>7718000</v>
      </c>
      <c r="CO30" s="13">
        <v>7050000</v>
      </c>
      <c r="CP30" s="16">
        <v>6948000</v>
      </c>
      <c r="CQ30" s="16">
        <v>7705000</v>
      </c>
      <c r="CR30" s="16">
        <v>7993000</v>
      </c>
      <c r="CS30" s="16">
        <v>7549000</v>
      </c>
      <c r="CT30" s="16">
        <v>9440000</v>
      </c>
      <c r="CU30" s="16">
        <v>8687000</v>
      </c>
      <c r="CV30" s="16">
        <v>9756000</v>
      </c>
      <c r="CW30" s="16">
        <v>11421000</v>
      </c>
      <c r="CX30" s="16">
        <v>8245000</v>
      </c>
      <c r="CY30" s="13">
        <v>8771000</v>
      </c>
      <c r="CZ30" s="16">
        <v>7254000</v>
      </c>
      <c r="DA30" s="13">
        <v>7005000</v>
      </c>
      <c r="DB30" s="16">
        <v>7297000</v>
      </c>
      <c r="DC30" s="16">
        <v>6672000</v>
      </c>
      <c r="DD30" s="16">
        <v>6866000</v>
      </c>
      <c r="DE30" s="22">
        <v>7019000</v>
      </c>
      <c r="DF30" s="16">
        <v>7914000</v>
      </c>
      <c r="DG30" s="16">
        <v>8219000</v>
      </c>
      <c r="DH30" s="16">
        <v>8474000</v>
      </c>
      <c r="DI30" s="16">
        <v>9900000</v>
      </c>
      <c r="DJ30" s="16">
        <v>9949000</v>
      </c>
      <c r="DK30" s="13">
        <v>7610000</v>
      </c>
      <c r="DL30" s="16">
        <v>6665000</v>
      </c>
      <c r="DM30" s="13">
        <v>6380000</v>
      </c>
      <c r="DN30" s="16">
        <v>7276000</v>
      </c>
      <c r="DO30" s="16">
        <v>6396000</v>
      </c>
      <c r="DP30" s="16">
        <v>7106000</v>
      </c>
      <c r="DQ30" s="16">
        <v>7361000</v>
      </c>
      <c r="DR30" s="16">
        <v>7725000</v>
      </c>
      <c r="DS30" s="16">
        <v>6796000</v>
      </c>
      <c r="DT30" s="16">
        <v>10916000</v>
      </c>
      <c r="DU30" s="16">
        <v>12246000</v>
      </c>
      <c r="DV30" s="16">
        <v>11926000</v>
      </c>
      <c r="DW30" s="13">
        <v>7945000</v>
      </c>
      <c r="DX30" s="16">
        <v>7977000</v>
      </c>
      <c r="DY30" s="13">
        <v>6763000</v>
      </c>
      <c r="DZ30" s="16">
        <v>7737000</v>
      </c>
      <c r="EA30" s="16">
        <v>7598000</v>
      </c>
      <c r="EB30" s="16">
        <v>7145000</v>
      </c>
      <c r="EC30" s="16">
        <v>7890000</v>
      </c>
      <c r="ED30" s="16">
        <v>8267000</v>
      </c>
      <c r="EE30" s="16">
        <v>9236000</v>
      </c>
      <c r="EF30" s="16">
        <v>8941000</v>
      </c>
      <c r="EG30" s="16">
        <v>10660000</v>
      </c>
      <c r="EH30" s="16">
        <v>8825000</v>
      </c>
      <c r="EI30" s="13">
        <v>9731000</v>
      </c>
      <c r="EJ30" s="16">
        <v>7886000</v>
      </c>
      <c r="EK30" s="13">
        <v>6926000</v>
      </c>
      <c r="EL30" s="16">
        <v>5969000</v>
      </c>
      <c r="EM30" s="16">
        <v>6936000</v>
      </c>
      <c r="EN30" s="16">
        <v>6228000</v>
      </c>
      <c r="EO30" s="16">
        <v>6240000</v>
      </c>
      <c r="EP30" s="16">
        <v>6855000</v>
      </c>
      <c r="EQ30" s="197">
        <v>9228000</v>
      </c>
      <c r="ER30" s="16">
        <v>10386000</v>
      </c>
      <c r="ES30" s="16">
        <v>13227000</v>
      </c>
      <c r="ET30" s="16">
        <v>10593000</v>
      </c>
      <c r="EU30" s="13">
        <v>9839000</v>
      </c>
      <c r="EV30" s="16">
        <v>8947000</v>
      </c>
      <c r="EW30" s="13">
        <v>6965000</v>
      </c>
      <c r="EX30" s="16">
        <v>7750000</v>
      </c>
      <c r="EY30">
        <v>6955000</v>
      </c>
      <c r="EZ30" s="16">
        <v>7388000</v>
      </c>
      <c r="FA30" s="16">
        <v>7601000</v>
      </c>
      <c r="FB30" s="356">
        <v>7533080</v>
      </c>
      <c r="FC30" s="357">
        <v>10453020</v>
      </c>
      <c r="FD30" s="357">
        <v>9830520</v>
      </c>
      <c r="FE30" s="358">
        <v>9384810</v>
      </c>
      <c r="FF30" s="16">
        <v>8556000</v>
      </c>
      <c r="FG30" s="13">
        <v>6760000</v>
      </c>
      <c r="FH30" s="16">
        <v>7293000</v>
      </c>
      <c r="FI30" s="13">
        <v>6687000</v>
      </c>
      <c r="FJ30" s="16">
        <v>6483000</v>
      </c>
      <c r="FK30" s="16">
        <v>5139000</v>
      </c>
      <c r="FL30" s="16">
        <v>5208000</v>
      </c>
      <c r="FM30" s="16">
        <v>6582000</v>
      </c>
      <c r="FN30" s="16">
        <v>7089000</v>
      </c>
      <c r="FO30" s="16">
        <v>9636000</v>
      </c>
      <c r="FP30" s="16">
        <v>9185000</v>
      </c>
      <c r="FQ30" s="16">
        <v>10838000</v>
      </c>
      <c r="FR30" s="16">
        <v>8288000</v>
      </c>
      <c r="FS30" s="13">
        <v>7521000</v>
      </c>
      <c r="FT30" s="16">
        <v>6363000</v>
      </c>
      <c r="FU30" s="13">
        <v>5823000</v>
      </c>
      <c r="FV30" s="16">
        <v>7170000</v>
      </c>
      <c r="FW30" s="16">
        <v>9594000</v>
      </c>
      <c r="FX30" s="16">
        <v>5949000</v>
      </c>
      <c r="FY30" s="16">
        <v>5451000</v>
      </c>
      <c r="FZ30" s="16">
        <v>7022000</v>
      </c>
      <c r="GA30" s="16">
        <v>7944000</v>
      </c>
      <c r="GB30" s="197">
        <v>8039000</v>
      </c>
      <c r="GC30" s="16">
        <v>10305000</v>
      </c>
      <c r="GE30" s="13">
        <v>7138000</v>
      </c>
      <c r="GF30" s="416">
        <v>8522000</v>
      </c>
    </row>
    <row r="31" spans="2:188" ht="14.25">
      <c r="B31" s="13">
        <v>9918000</v>
      </c>
      <c r="C31" s="16">
        <v>9481000</v>
      </c>
      <c r="D31" s="16">
        <v>12859000</v>
      </c>
      <c r="E31" s="16">
        <v>11356000</v>
      </c>
      <c r="F31" s="16">
        <v>11873000</v>
      </c>
      <c r="G31" s="16">
        <v>8936000</v>
      </c>
      <c r="H31" s="22">
        <v>8459000</v>
      </c>
      <c r="I31" s="16">
        <v>7376000</v>
      </c>
      <c r="J31" s="16">
        <v>8103000</v>
      </c>
      <c r="K31" s="16">
        <v>8065000</v>
      </c>
      <c r="L31" s="16">
        <v>7537000</v>
      </c>
      <c r="M31" s="16">
        <v>8177000</v>
      </c>
      <c r="N31" s="16">
        <v>9336000</v>
      </c>
      <c r="O31" s="16">
        <v>9980000</v>
      </c>
      <c r="P31" s="16">
        <v>8026000</v>
      </c>
      <c r="Q31" s="16">
        <v>9928000</v>
      </c>
      <c r="R31" s="16">
        <v>9594000</v>
      </c>
      <c r="S31" s="16">
        <v>8446000</v>
      </c>
      <c r="T31" s="16">
        <v>8066000</v>
      </c>
      <c r="U31" s="16">
        <v>7052000</v>
      </c>
      <c r="V31" s="16">
        <v>7809000</v>
      </c>
      <c r="W31" s="16">
        <v>7998000</v>
      </c>
      <c r="X31" s="16">
        <v>7474000</v>
      </c>
      <c r="Y31" s="16">
        <v>7934000</v>
      </c>
      <c r="Z31" s="16">
        <v>7188000</v>
      </c>
      <c r="AA31" s="16">
        <v>10110000</v>
      </c>
      <c r="AB31" s="16">
        <v>14903000</v>
      </c>
      <c r="AC31" s="16">
        <v>10426000</v>
      </c>
      <c r="AD31" s="16">
        <v>10088000</v>
      </c>
      <c r="AE31" s="16">
        <v>7379000</v>
      </c>
      <c r="AF31" s="16">
        <v>7411000</v>
      </c>
      <c r="AG31" s="13">
        <v>7541000</v>
      </c>
      <c r="AH31" s="16">
        <v>7146000</v>
      </c>
      <c r="AI31" s="16">
        <v>7572000</v>
      </c>
      <c r="AJ31" s="16">
        <v>6804000</v>
      </c>
      <c r="AK31" s="16">
        <v>6605000</v>
      </c>
      <c r="AL31" s="16">
        <v>8865000</v>
      </c>
      <c r="AM31" s="16">
        <v>11598000</v>
      </c>
      <c r="AN31" s="16">
        <v>10664000</v>
      </c>
      <c r="AO31" s="16">
        <v>7637000</v>
      </c>
      <c r="AP31" s="16">
        <v>6572000</v>
      </c>
      <c r="AQ31" s="16">
        <v>6436000</v>
      </c>
      <c r="AR31" s="16">
        <v>6381000</v>
      </c>
      <c r="AS31" s="13">
        <v>5701000</v>
      </c>
      <c r="AT31" s="16">
        <v>5396000</v>
      </c>
      <c r="AU31" s="16">
        <v>6749000</v>
      </c>
      <c r="AV31" s="16">
        <v>6529000</v>
      </c>
      <c r="AW31" s="16">
        <v>6047000</v>
      </c>
      <c r="AX31" s="16">
        <v>5924000</v>
      </c>
      <c r="AY31" s="172">
        <v>7740000</v>
      </c>
      <c r="AZ31" s="16">
        <v>7780000</v>
      </c>
      <c r="BA31" s="16">
        <v>9671000</v>
      </c>
      <c r="BB31" s="16">
        <v>7530000</v>
      </c>
      <c r="BC31" s="13">
        <v>6684000</v>
      </c>
      <c r="BE31" s="13">
        <v>7655000</v>
      </c>
      <c r="BF31" s="16">
        <v>6964000</v>
      </c>
      <c r="BG31" s="16">
        <v>8081034</v>
      </c>
      <c r="BI31" s="16">
        <v>7505000</v>
      </c>
      <c r="BJ31" s="16">
        <v>9076000</v>
      </c>
      <c r="BK31" s="16">
        <v>8536000</v>
      </c>
      <c r="BL31" s="16">
        <v>10840000</v>
      </c>
      <c r="BM31" s="16">
        <v>9788000</v>
      </c>
      <c r="BN31" s="16">
        <v>7994000</v>
      </c>
      <c r="BO31" s="13">
        <v>7911000</v>
      </c>
      <c r="BP31" s="16">
        <v>8286000</v>
      </c>
      <c r="BQ31" s="13">
        <v>6572000</v>
      </c>
      <c r="BR31" s="16">
        <v>8095000</v>
      </c>
      <c r="BS31" s="16">
        <v>8510000</v>
      </c>
      <c r="BT31" s="16">
        <v>8122000</v>
      </c>
      <c r="BU31" s="16">
        <v>7830000</v>
      </c>
      <c r="BV31" s="16">
        <v>8625000</v>
      </c>
      <c r="BW31" s="16">
        <v>12009000</v>
      </c>
      <c r="BX31" s="16">
        <v>11672000</v>
      </c>
      <c r="BY31" s="16">
        <v>12123000</v>
      </c>
      <c r="BZ31" s="16">
        <v>10318000</v>
      </c>
      <c r="CA31" s="13">
        <v>9966000</v>
      </c>
      <c r="CB31" s="16">
        <v>7432000</v>
      </c>
      <c r="CC31" s="13">
        <v>6930000</v>
      </c>
      <c r="CD31" s="16">
        <v>7174000</v>
      </c>
      <c r="CE31" s="16">
        <v>6613000</v>
      </c>
      <c r="CF31" s="16">
        <v>8646000</v>
      </c>
      <c r="CG31" s="16">
        <v>8493000</v>
      </c>
      <c r="CH31" s="16">
        <v>12879000</v>
      </c>
      <c r="CI31" s="16">
        <v>13111000</v>
      </c>
      <c r="CJ31" s="16">
        <v>11525000</v>
      </c>
      <c r="CK31" s="16">
        <v>11939000</v>
      </c>
      <c r="CL31" s="16">
        <v>14060000</v>
      </c>
      <c r="CM31" s="13">
        <v>7746000</v>
      </c>
      <c r="CN31" s="16">
        <v>7878000</v>
      </c>
      <c r="CO31" s="13">
        <v>7797000</v>
      </c>
      <c r="CP31" s="16">
        <v>7122000</v>
      </c>
      <c r="CQ31" s="16">
        <v>6509000</v>
      </c>
      <c r="CR31" s="16">
        <v>6890000</v>
      </c>
      <c r="CS31" s="16">
        <v>7324000</v>
      </c>
      <c r="CT31" s="16">
        <v>9789000</v>
      </c>
      <c r="CU31" s="16">
        <v>9832000</v>
      </c>
      <c r="CV31" s="16">
        <v>8218000</v>
      </c>
      <c r="CW31" s="16">
        <v>11104000</v>
      </c>
      <c r="CX31" s="16">
        <v>9579000</v>
      </c>
      <c r="CY31" s="13">
        <v>9130000</v>
      </c>
      <c r="DA31" s="13">
        <v>7169000</v>
      </c>
      <c r="DB31" s="16">
        <v>7497000</v>
      </c>
      <c r="DC31" s="16">
        <v>7599000</v>
      </c>
      <c r="DD31" s="16">
        <v>6751000</v>
      </c>
      <c r="DE31" s="22">
        <v>6906000</v>
      </c>
      <c r="DF31" s="16">
        <v>6910000</v>
      </c>
      <c r="DG31" s="197">
        <v>8128000</v>
      </c>
      <c r="DH31" s="16">
        <v>9018000</v>
      </c>
      <c r="DI31" s="16">
        <v>10286000</v>
      </c>
      <c r="DJ31" s="16">
        <v>9780000</v>
      </c>
      <c r="DK31" s="13">
        <v>9384000</v>
      </c>
      <c r="DL31" s="16">
        <v>6921000</v>
      </c>
      <c r="DM31" s="13">
        <v>6856000</v>
      </c>
      <c r="DN31" s="16">
        <v>7547000</v>
      </c>
      <c r="DO31" s="16">
        <v>6537000</v>
      </c>
      <c r="DP31" s="16">
        <v>6958000</v>
      </c>
      <c r="DQ31" s="16">
        <v>6821000</v>
      </c>
      <c r="DR31" s="16">
        <v>7405000</v>
      </c>
      <c r="DS31" s="16">
        <v>8339000</v>
      </c>
      <c r="DT31" s="16">
        <v>11206000</v>
      </c>
      <c r="DU31" s="16">
        <v>12434000</v>
      </c>
      <c r="DV31" s="16">
        <v>12099000</v>
      </c>
      <c r="DW31" s="13">
        <v>7197000</v>
      </c>
      <c r="DY31" s="13">
        <v>6827000</v>
      </c>
      <c r="DZ31" s="16">
        <v>7795000</v>
      </c>
      <c r="EA31" s="16">
        <v>6761000</v>
      </c>
      <c r="EB31" s="16">
        <v>7008000</v>
      </c>
      <c r="EC31" s="16">
        <v>6387000</v>
      </c>
      <c r="ED31" s="16">
        <v>10912000</v>
      </c>
      <c r="EE31" s="197">
        <v>7775000</v>
      </c>
      <c r="EF31" s="16">
        <v>10284000</v>
      </c>
      <c r="EG31" s="16">
        <v>10217000</v>
      </c>
      <c r="EH31" s="16">
        <v>8892000</v>
      </c>
      <c r="EJ31" s="16">
        <v>7946000</v>
      </c>
      <c r="EK31" s="13">
        <v>6897000</v>
      </c>
      <c r="EL31" s="16">
        <v>6549000</v>
      </c>
      <c r="EM31" s="16">
        <v>5847000</v>
      </c>
      <c r="EN31" s="16">
        <v>7232000</v>
      </c>
      <c r="EO31" s="16">
        <v>6421000</v>
      </c>
      <c r="EP31" s="16">
        <v>7121000</v>
      </c>
      <c r="EQ31" s="16">
        <v>8628000</v>
      </c>
      <c r="ER31" s="16">
        <v>11538000</v>
      </c>
      <c r="ES31" s="16">
        <v>12803000</v>
      </c>
      <c r="ET31" s="16">
        <v>11362000</v>
      </c>
      <c r="EU31" s="13">
        <v>10055000</v>
      </c>
      <c r="EV31" s="16">
        <v>9675000</v>
      </c>
      <c r="EW31" s="13">
        <v>6507000</v>
      </c>
      <c r="EX31" s="16">
        <v>8050000</v>
      </c>
      <c r="EY31">
        <v>6593000</v>
      </c>
      <c r="EZ31" s="16">
        <v>7229000</v>
      </c>
      <c r="FA31" s="16">
        <v>7862000</v>
      </c>
      <c r="FB31" s="356">
        <v>7186140</v>
      </c>
      <c r="FC31" s="357">
        <v>12765400</v>
      </c>
      <c r="FD31" s="357">
        <v>11159350</v>
      </c>
      <c r="FE31" s="358">
        <v>10172480</v>
      </c>
      <c r="FF31" s="16">
        <v>9858000</v>
      </c>
      <c r="FG31" s="13">
        <v>7154000</v>
      </c>
      <c r="FI31" s="13">
        <v>7629000</v>
      </c>
      <c r="FJ31" s="16">
        <v>6146000</v>
      </c>
      <c r="FK31" s="16">
        <v>6094000</v>
      </c>
      <c r="FL31" s="16">
        <v>5690000</v>
      </c>
      <c r="FM31" s="16">
        <v>6519000</v>
      </c>
      <c r="FN31" s="16">
        <v>6006000</v>
      </c>
      <c r="FO31" s="197">
        <v>10210000</v>
      </c>
      <c r="FP31" s="16">
        <v>8843000</v>
      </c>
      <c r="FQ31" s="16">
        <v>11321000</v>
      </c>
      <c r="FR31" s="16">
        <v>7960000</v>
      </c>
      <c r="FS31" s="13">
        <v>8793000</v>
      </c>
      <c r="FU31" s="13">
        <v>6199000</v>
      </c>
      <c r="FV31" s="16">
        <v>7183000</v>
      </c>
      <c r="FW31" s="16">
        <v>7189000</v>
      </c>
      <c r="FX31" s="16">
        <v>5924000</v>
      </c>
      <c r="FY31" s="16">
        <v>5325000</v>
      </c>
      <c r="FZ31" s="16">
        <v>6940000</v>
      </c>
      <c r="GA31" s="197">
        <v>8455000</v>
      </c>
      <c r="GB31" s="197">
        <v>10660000</v>
      </c>
      <c r="GC31" s="16">
        <v>11203000</v>
      </c>
      <c r="GE31" s="13">
        <v>7499000</v>
      </c>
      <c r="GF31" s="416">
        <v>8161000</v>
      </c>
    </row>
    <row r="32" spans="2:188" ht="14.25">
      <c r="B32" s="13"/>
      <c r="C32" s="16">
        <v>9668000</v>
      </c>
      <c r="D32" s="16">
        <v>13267000</v>
      </c>
      <c r="E32" s="16">
        <v>10553000</v>
      </c>
      <c r="F32" s="16">
        <v>12130000</v>
      </c>
      <c r="G32" s="16"/>
      <c r="H32" s="22">
        <v>7866000</v>
      </c>
      <c r="I32" s="16">
        <v>7391000</v>
      </c>
      <c r="J32" s="16">
        <v>7293000</v>
      </c>
      <c r="K32" s="16"/>
      <c r="L32" s="16">
        <v>7657000</v>
      </c>
      <c r="M32" s="16">
        <v>7311000</v>
      </c>
      <c r="N32" s="16">
        <v>9549000</v>
      </c>
      <c r="O32" s="16">
        <v>8587000</v>
      </c>
      <c r="P32" s="16">
        <v>8424000</v>
      </c>
      <c r="Q32" s="16">
        <v>10542000</v>
      </c>
      <c r="R32" s="16">
        <v>11316000</v>
      </c>
      <c r="S32" s="16">
        <v>8862000</v>
      </c>
      <c r="U32" s="16">
        <v>7361000</v>
      </c>
      <c r="V32" s="16">
        <v>7664000</v>
      </c>
      <c r="W32" s="16">
        <v>7613000</v>
      </c>
      <c r="X32" s="16">
        <v>7208000</v>
      </c>
      <c r="Y32" s="16">
        <v>7307000</v>
      </c>
      <c r="Z32" s="16">
        <v>8408000</v>
      </c>
      <c r="AA32" s="16">
        <v>8903000</v>
      </c>
      <c r="AB32" s="16">
        <v>14083000</v>
      </c>
      <c r="AC32" s="16">
        <v>11426000</v>
      </c>
      <c r="AD32" s="16">
        <v>9740000</v>
      </c>
      <c r="AE32" s="16">
        <v>8039000</v>
      </c>
      <c r="AG32" s="13">
        <v>7083000</v>
      </c>
      <c r="AH32" s="16">
        <v>6928000</v>
      </c>
      <c r="AI32" s="16">
        <v>7172000</v>
      </c>
      <c r="AJ32" s="16">
        <v>6591000</v>
      </c>
      <c r="AK32" s="16">
        <v>7776000</v>
      </c>
      <c r="AL32" s="16">
        <v>8568000</v>
      </c>
      <c r="AM32" s="16">
        <v>12821000</v>
      </c>
      <c r="AN32" s="16">
        <v>8424000</v>
      </c>
      <c r="AO32" s="16">
        <v>9591000</v>
      </c>
      <c r="AP32" s="16">
        <v>6104000</v>
      </c>
      <c r="AQ32" s="16">
        <v>7605000</v>
      </c>
      <c r="AR32" s="16">
        <v>7669000</v>
      </c>
      <c r="AS32" s="13">
        <v>5590000</v>
      </c>
      <c r="AT32" s="16">
        <v>6673000</v>
      </c>
      <c r="AU32" s="16">
        <v>6233000</v>
      </c>
      <c r="AV32" s="16">
        <v>6890000</v>
      </c>
      <c r="AW32" s="16">
        <v>7766000</v>
      </c>
      <c r="AX32" s="16">
        <v>5410000</v>
      </c>
      <c r="AY32" s="16">
        <v>9160000</v>
      </c>
      <c r="AZ32" s="16">
        <v>10725000</v>
      </c>
      <c r="BA32" s="16">
        <v>9791000</v>
      </c>
      <c r="BB32" s="16">
        <v>7273000</v>
      </c>
      <c r="BC32" s="13">
        <v>7807000</v>
      </c>
      <c r="BE32" s="13">
        <v>5612000</v>
      </c>
      <c r="BF32" s="16">
        <v>6653000</v>
      </c>
      <c r="BG32" s="16">
        <v>8530324</v>
      </c>
      <c r="BI32" s="16">
        <v>7028000</v>
      </c>
      <c r="BJ32" s="16">
        <v>8970000</v>
      </c>
      <c r="BK32" s="16">
        <v>11093000</v>
      </c>
      <c r="BL32" s="16">
        <v>9578000</v>
      </c>
      <c r="BM32" s="16">
        <v>10294000</v>
      </c>
      <c r="BN32" s="16">
        <v>9772000</v>
      </c>
      <c r="BQ32" s="13">
        <v>8064000</v>
      </c>
      <c r="BR32" s="16">
        <v>8490000</v>
      </c>
      <c r="BS32" s="16">
        <v>7765000</v>
      </c>
      <c r="BT32" s="16">
        <v>7803000</v>
      </c>
      <c r="BU32" s="16">
        <v>7907000</v>
      </c>
      <c r="BV32" s="16">
        <v>8930000</v>
      </c>
      <c r="BW32" s="16">
        <v>10152000</v>
      </c>
      <c r="BX32" s="16">
        <v>11406000</v>
      </c>
      <c r="BY32" s="16">
        <v>11286000</v>
      </c>
      <c r="BZ32" s="16">
        <v>9392000</v>
      </c>
      <c r="CA32" s="16"/>
      <c r="CB32" s="16">
        <v>7697000</v>
      </c>
      <c r="CC32" s="13">
        <v>8644000</v>
      </c>
      <c r="CD32" s="16">
        <v>7069000</v>
      </c>
      <c r="CE32" s="16">
        <v>7241000</v>
      </c>
      <c r="CF32" s="16">
        <v>8031000</v>
      </c>
      <c r="CG32" s="16">
        <v>8926000</v>
      </c>
      <c r="CI32" s="16">
        <v>12567000</v>
      </c>
      <c r="CJ32" s="16">
        <v>11207000</v>
      </c>
      <c r="CK32" s="16">
        <v>11187000</v>
      </c>
      <c r="CL32" s="16">
        <v>11271000</v>
      </c>
      <c r="CN32" s="16">
        <v>7628000</v>
      </c>
      <c r="CO32" s="13">
        <v>7166000</v>
      </c>
      <c r="CP32" s="16">
        <v>8249000</v>
      </c>
      <c r="CR32" s="16">
        <v>7517000</v>
      </c>
      <c r="CS32" s="16">
        <v>7719000</v>
      </c>
      <c r="CT32" s="16">
        <v>9548000</v>
      </c>
      <c r="CU32" s="16">
        <v>9059000</v>
      </c>
      <c r="CV32" s="16">
        <v>9423000</v>
      </c>
      <c r="CW32" s="16">
        <v>10112000</v>
      </c>
      <c r="CX32" s="16">
        <v>7778000</v>
      </c>
      <c r="CY32" s="13">
        <v>9239000</v>
      </c>
      <c r="DA32" s="13">
        <v>6016000</v>
      </c>
      <c r="DB32" s="16">
        <v>7644000</v>
      </c>
      <c r="DC32" s="16">
        <v>7706000</v>
      </c>
      <c r="DD32" s="16">
        <v>6937000</v>
      </c>
      <c r="DE32" s="22">
        <v>6801000</v>
      </c>
      <c r="DF32" s="16">
        <v>7205000</v>
      </c>
      <c r="DG32" s="16">
        <v>7522000</v>
      </c>
      <c r="DH32" s="16">
        <v>11568000</v>
      </c>
      <c r="DI32" s="16">
        <v>10082000</v>
      </c>
      <c r="DJ32" s="16">
        <v>9132000</v>
      </c>
      <c r="DK32" s="13">
        <v>10970000</v>
      </c>
      <c r="DL32" s="16">
        <v>6728000</v>
      </c>
      <c r="DM32" s="13">
        <v>7133000</v>
      </c>
      <c r="DN32" s="16">
        <v>7650000</v>
      </c>
      <c r="DP32" s="16">
        <v>6464000</v>
      </c>
      <c r="DQ32" s="16">
        <v>7867000</v>
      </c>
      <c r="DR32" s="16">
        <v>8885000</v>
      </c>
      <c r="DS32" s="197">
        <v>7685000</v>
      </c>
      <c r="DT32" s="16">
        <v>11449000</v>
      </c>
      <c r="DU32" s="16">
        <v>12426000</v>
      </c>
      <c r="DV32" s="16">
        <v>11334000</v>
      </c>
      <c r="DW32" s="13">
        <v>8431000</v>
      </c>
      <c r="DY32" s="13">
        <v>7199000</v>
      </c>
      <c r="DZ32" s="16">
        <v>6947000</v>
      </c>
      <c r="EA32" s="16">
        <v>7223000</v>
      </c>
      <c r="EB32" s="16">
        <v>6872000</v>
      </c>
      <c r="EC32" s="16">
        <v>7337000</v>
      </c>
      <c r="ED32" s="16">
        <v>11007000</v>
      </c>
      <c r="EE32" s="16">
        <v>9907000</v>
      </c>
      <c r="EF32" s="16">
        <v>9850000</v>
      </c>
      <c r="EG32" s="16">
        <v>9169000</v>
      </c>
      <c r="EH32" s="16">
        <v>8866000</v>
      </c>
      <c r="EJ32" s="16">
        <v>7455000</v>
      </c>
      <c r="EK32" s="13">
        <v>6059000</v>
      </c>
      <c r="EL32" s="16">
        <v>7236000</v>
      </c>
      <c r="EN32" s="16">
        <v>6520000</v>
      </c>
      <c r="EO32" s="16">
        <v>6693000</v>
      </c>
      <c r="EP32" s="16">
        <v>6973000</v>
      </c>
      <c r="EQ32" s="16">
        <v>11642000</v>
      </c>
      <c r="ER32" s="16">
        <v>10880000</v>
      </c>
      <c r="ES32" s="16">
        <v>13274000</v>
      </c>
      <c r="ET32" s="16">
        <v>11427000</v>
      </c>
      <c r="EV32" s="16">
        <v>8840000</v>
      </c>
      <c r="EW32" s="13">
        <v>9711000</v>
      </c>
      <c r="EX32" s="16">
        <v>8045000</v>
      </c>
      <c r="EY32">
        <v>7786000</v>
      </c>
      <c r="EZ32" s="16">
        <v>7796000</v>
      </c>
      <c r="FA32" s="16">
        <v>7539000</v>
      </c>
      <c r="FC32" s="357">
        <v>14058540</v>
      </c>
      <c r="FD32" s="357">
        <v>8421180</v>
      </c>
      <c r="FE32" s="358">
        <v>9741710</v>
      </c>
      <c r="FF32" s="16">
        <v>9318000</v>
      </c>
      <c r="FG32" s="13">
        <v>8129000</v>
      </c>
      <c r="FI32" s="13">
        <v>8039000</v>
      </c>
      <c r="FJ32" s="16">
        <v>6554000</v>
      </c>
      <c r="FK32" s="16">
        <v>6020000</v>
      </c>
      <c r="FL32" s="16">
        <v>6011000</v>
      </c>
      <c r="FM32" s="16">
        <v>6733000</v>
      </c>
      <c r="FN32" s="16">
        <v>6602000</v>
      </c>
      <c r="FO32" s="16">
        <v>9992000</v>
      </c>
      <c r="FP32" s="16">
        <v>9396000</v>
      </c>
      <c r="FQ32" s="16">
        <v>11013000</v>
      </c>
      <c r="FR32" s="16">
        <v>6851000</v>
      </c>
      <c r="FS32" s="13">
        <v>7197000</v>
      </c>
      <c r="FU32" s="13">
        <v>5577000</v>
      </c>
      <c r="FV32" s="16">
        <v>6205000</v>
      </c>
      <c r="FW32" s="16">
        <v>4950000</v>
      </c>
      <c r="FX32" s="16">
        <v>5610000</v>
      </c>
      <c r="FY32" s="16">
        <v>4897000</v>
      </c>
      <c r="FZ32" s="16">
        <v>6250000</v>
      </c>
      <c r="GA32" s="16">
        <v>7893000</v>
      </c>
      <c r="GB32" s="197">
        <v>10669000</v>
      </c>
      <c r="GC32" s="16">
        <v>9848000</v>
      </c>
      <c r="GE32" s="13">
        <v>7243000</v>
      </c>
      <c r="GF32" s="416">
        <v>7532000</v>
      </c>
    </row>
    <row r="33" spans="3:185" ht="14.25">
      <c r="C33" s="16">
        <v>11289000</v>
      </c>
      <c r="D33" s="16"/>
      <c r="E33" s="16">
        <v>9521000</v>
      </c>
      <c r="F33" s="16">
        <v>8784000</v>
      </c>
      <c r="G33" s="16"/>
      <c r="H33" s="22">
        <v>7630000</v>
      </c>
      <c r="I33" s="16">
        <v>8082000</v>
      </c>
      <c r="J33" s="16">
        <v>8074000</v>
      </c>
      <c r="K33" s="16"/>
      <c r="L33" s="16">
        <v>8133000</v>
      </c>
      <c r="M33" s="16">
        <v>8333000</v>
      </c>
      <c r="N33" s="16"/>
      <c r="O33" s="16">
        <v>8914000</v>
      </c>
      <c r="P33" s="16">
        <v>8749000</v>
      </c>
      <c r="S33" s="16">
        <v>8044000</v>
      </c>
      <c r="U33" s="16">
        <v>6550000</v>
      </c>
      <c r="V33" s="16">
        <v>7988000</v>
      </c>
      <c r="X33" s="16">
        <v>7645000</v>
      </c>
      <c r="Y33" s="16">
        <v>8387000</v>
      </c>
      <c r="AB33" s="16">
        <v>13495000</v>
      </c>
      <c r="AD33" s="16">
        <v>10256000</v>
      </c>
      <c r="AG33" s="13">
        <v>6807000</v>
      </c>
      <c r="AH33" s="16">
        <v>6615000</v>
      </c>
      <c r="AK33" s="16">
        <v>6954000</v>
      </c>
      <c r="AL33" s="16">
        <v>9491000</v>
      </c>
      <c r="AM33" s="16">
        <v>10249000</v>
      </c>
      <c r="AN33" s="16">
        <v>7401000</v>
      </c>
      <c r="AO33" s="16">
        <v>8100000</v>
      </c>
      <c r="AP33" s="16">
        <v>6322000</v>
      </c>
      <c r="AS33" s="13">
        <v>5693000</v>
      </c>
      <c r="AT33" s="16">
        <v>6569000</v>
      </c>
      <c r="AV33" s="16">
        <v>5885000</v>
      </c>
      <c r="AW33" s="16">
        <v>4017000</v>
      </c>
      <c r="AY33" s="16">
        <v>5346000</v>
      </c>
      <c r="AZ33" s="16">
        <v>11289000</v>
      </c>
      <c r="BB33" s="16">
        <v>7554000</v>
      </c>
      <c r="BE33" s="13">
        <v>6950000</v>
      </c>
      <c r="BF33" s="16">
        <v>7557000</v>
      </c>
      <c r="BG33" s="16">
        <v>4954528</v>
      </c>
      <c r="BJ33" s="16">
        <v>7021000</v>
      </c>
      <c r="BK33" s="16">
        <v>8572000</v>
      </c>
      <c r="BL33" s="16">
        <v>8807000</v>
      </c>
      <c r="BM33" s="16">
        <v>9803000</v>
      </c>
      <c r="BQ33" s="13">
        <v>5950000</v>
      </c>
      <c r="BR33" s="16">
        <v>9010000</v>
      </c>
      <c r="BV33" s="16">
        <v>8763000</v>
      </c>
      <c r="BW33" s="16">
        <v>12082000</v>
      </c>
      <c r="BX33" s="16">
        <v>11727000</v>
      </c>
      <c r="BY33" s="16">
        <v>10843000</v>
      </c>
      <c r="CB33" s="16">
        <v>6733000</v>
      </c>
      <c r="CC33" s="13">
        <v>7253000</v>
      </c>
      <c r="CD33" s="16">
        <v>7450000</v>
      </c>
      <c r="CE33" s="16">
        <v>7377000</v>
      </c>
      <c r="CG33" s="16">
        <v>9112000</v>
      </c>
      <c r="CI33" s="16">
        <v>14482000</v>
      </c>
      <c r="CJ33" s="16">
        <v>10357000</v>
      </c>
      <c r="CK33" s="16">
        <v>11562000</v>
      </c>
      <c r="CL33" s="16">
        <v>8835000</v>
      </c>
      <c r="CN33" s="16">
        <v>6838000</v>
      </c>
      <c r="CO33" s="13">
        <v>7217000</v>
      </c>
      <c r="CP33" s="16">
        <v>7955000</v>
      </c>
      <c r="CR33" s="16">
        <v>7505000</v>
      </c>
      <c r="CS33" s="16">
        <v>8269000</v>
      </c>
      <c r="CU33" s="16">
        <v>9975000</v>
      </c>
      <c r="CV33" s="16">
        <v>11320000</v>
      </c>
      <c r="CX33" s="16">
        <v>9713000</v>
      </c>
      <c r="DA33" s="13">
        <v>6905000</v>
      </c>
      <c r="DB33" s="16">
        <v>7376000</v>
      </c>
      <c r="DE33" s="22">
        <v>6781000</v>
      </c>
      <c r="DF33" s="16">
        <v>8115000</v>
      </c>
      <c r="DG33" s="16">
        <v>7131000</v>
      </c>
      <c r="DH33" s="16">
        <v>8877000</v>
      </c>
      <c r="DJ33" s="16">
        <v>8410000</v>
      </c>
      <c r="DL33" s="16"/>
      <c r="DM33" s="13">
        <v>5952000</v>
      </c>
      <c r="DN33" s="16">
        <v>9456000</v>
      </c>
      <c r="DP33" s="16">
        <v>6600000</v>
      </c>
      <c r="DS33" s="16">
        <v>8314000</v>
      </c>
      <c r="DV33" s="16">
        <v>10154000</v>
      </c>
      <c r="DW33" s="13">
        <v>10591000</v>
      </c>
      <c r="DY33" s="13">
        <v>7209000</v>
      </c>
      <c r="DZ33" s="16">
        <v>6379000</v>
      </c>
      <c r="EB33" s="16">
        <v>7974000</v>
      </c>
      <c r="ED33" s="16">
        <v>8721000</v>
      </c>
      <c r="EE33" s="16">
        <v>10479000</v>
      </c>
      <c r="EF33" s="16">
        <v>10640000</v>
      </c>
      <c r="EG33" s="16">
        <v>9892000</v>
      </c>
      <c r="EH33" s="16">
        <v>9520000</v>
      </c>
      <c r="EK33" s="13">
        <v>7598000</v>
      </c>
      <c r="EL33" s="16">
        <v>6717000</v>
      </c>
      <c r="EO33" s="16">
        <v>6646000</v>
      </c>
      <c r="EP33" s="16">
        <v>6427000</v>
      </c>
      <c r="ER33" s="16">
        <v>10846000</v>
      </c>
      <c r="EV33" s="16">
        <v>8989000</v>
      </c>
      <c r="EW33" s="13">
        <v>10845000</v>
      </c>
      <c r="EX33" s="16">
        <v>7378000</v>
      </c>
      <c r="FA33" s="16">
        <v>7348000</v>
      </c>
      <c r="FC33" s="357">
        <v>12878280</v>
      </c>
      <c r="FD33" s="357">
        <v>9299320</v>
      </c>
      <c r="FE33" s="358">
        <v>10723600</v>
      </c>
      <c r="FF33" s="16">
        <v>8336000</v>
      </c>
      <c r="FG33" s="13">
        <v>6927000</v>
      </c>
      <c r="FI33" s="13">
        <v>7657000</v>
      </c>
      <c r="FJ33" s="16">
        <v>6534000</v>
      </c>
      <c r="FL33" s="16">
        <v>5180000</v>
      </c>
      <c r="FM33" s="16">
        <v>6622000</v>
      </c>
      <c r="FO33" s="16">
        <v>8222000</v>
      </c>
      <c r="FP33" s="16">
        <v>9783000</v>
      </c>
      <c r="FQ33" s="16">
        <v>11012000</v>
      </c>
      <c r="FR33" s="16">
        <v>7025000</v>
      </c>
      <c r="FS33" s="13">
        <v>7966000</v>
      </c>
      <c r="FU33" s="13">
        <v>5863000</v>
      </c>
      <c r="FV33" s="16">
        <v>5662000</v>
      </c>
      <c r="FX33" s="16">
        <v>4809000</v>
      </c>
      <c r="FY33" s="16">
        <v>5664000</v>
      </c>
      <c r="GA33" s="16">
        <v>8042000</v>
      </c>
      <c r="GB33" s="197">
        <v>10533000</v>
      </c>
      <c r="GC33" s="16">
        <v>9423000</v>
      </c>
    </row>
    <row r="34" spans="3:185" ht="14.25">
      <c r="C34" s="16">
        <v>13280000</v>
      </c>
      <c r="D34" s="16"/>
      <c r="E34" s="16"/>
      <c r="F34" s="16">
        <v>8693000</v>
      </c>
      <c r="G34" s="16"/>
      <c r="H34" s="16"/>
      <c r="I34" s="16">
        <v>7062000</v>
      </c>
      <c r="J34" s="16">
        <v>7990000</v>
      </c>
      <c r="K34" s="16"/>
      <c r="L34" s="16"/>
      <c r="M34" s="16">
        <v>6692000</v>
      </c>
      <c r="P34" s="16">
        <v>9091000</v>
      </c>
      <c r="S34" s="16">
        <v>7656000</v>
      </c>
      <c r="U34" s="16">
        <v>7401000</v>
      </c>
      <c r="V34" s="16">
        <v>7661000</v>
      </c>
      <c r="Y34" s="16">
        <v>8293000</v>
      </c>
      <c r="AB34" s="16">
        <v>11204000</v>
      </c>
      <c r="AD34" s="16">
        <v>9680000</v>
      </c>
      <c r="AG34" s="13">
        <v>6921000</v>
      </c>
      <c r="AH34" s="16">
        <v>6961000</v>
      </c>
      <c r="AK34" s="16">
        <v>6706000</v>
      </c>
      <c r="AN34" s="16">
        <v>9556000</v>
      </c>
      <c r="AP34" s="16">
        <v>6336000</v>
      </c>
      <c r="AS34" s="13">
        <v>5495000</v>
      </c>
      <c r="AV34" s="16">
        <v>4507000</v>
      </c>
      <c r="AY34" s="16">
        <v>5359000</v>
      </c>
      <c r="BB34" s="16">
        <v>6673000</v>
      </c>
      <c r="BE34" s="13">
        <v>7874000</v>
      </c>
      <c r="BF34" s="16">
        <v>6160000</v>
      </c>
      <c r="BG34" s="16">
        <v>6710130</v>
      </c>
      <c r="BJ34" s="16">
        <v>7757000</v>
      </c>
      <c r="BM34" s="16">
        <v>6973000</v>
      </c>
      <c r="BQ34" s="13">
        <v>7594000</v>
      </c>
      <c r="BR34" s="16">
        <v>7809000</v>
      </c>
      <c r="BV34" s="16">
        <v>8757000</v>
      </c>
      <c r="BX34" s="16">
        <v>12878000</v>
      </c>
      <c r="CB34" s="16">
        <v>7449000</v>
      </c>
      <c r="CC34" s="13">
        <v>6402000</v>
      </c>
      <c r="CD34" s="16">
        <v>7742000</v>
      </c>
      <c r="CG34" s="16">
        <v>8908000</v>
      </c>
      <c r="CJ34" s="16">
        <v>11129000</v>
      </c>
      <c r="CN34" s="16">
        <v>7098000</v>
      </c>
      <c r="CO34" s="13">
        <v>7556000</v>
      </c>
      <c r="CP34" s="16">
        <v>8054000</v>
      </c>
      <c r="CS34" s="16">
        <v>7186000</v>
      </c>
      <c r="CU34" s="16">
        <v>10145000</v>
      </c>
      <c r="CX34" s="16">
        <v>10562000</v>
      </c>
      <c r="DA34" s="13">
        <v>6721000</v>
      </c>
      <c r="DE34" s="22">
        <v>6935000</v>
      </c>
      <c r="DG34" s="16">
        <v>8645000</v>
      </c>
      <c r="DJ34" s="16">
        <v>9662000</v>
      </c>
      <c r="DL34" s="16"/>
      <c r="DM34" s="13">
        <v>6577000</v>
      </c>
      <c r="DN34" s="16">
        <v>8691000</v>
      </c>
      <c r="DP34" s="16">
        <v>6554000</v>
      </c>
      <c r="DS34" s="16">
        <v>9831000</v>
      </c>
      <c r="DV34" s="16">
        <v>10220000</v>
      </c>
      <c r="DW34" s="13">
        <v>8566000</v>
      </c>
      <c r="DY34" s="13">
        <v>6669000</v>
      </c>
      <c r="DZ34" s="16">
        <v>6388000</v>
      </c>
      <c r="EB34" s="16">
        <v>6410000</v>
      </c>
      <c r="ED34" s="16">
        <v>9470000</v>
      </c>
      <c r="EE34" s="16">
        <v>10274000</v>
      </c>
      <c r="EG34" s="16">
        <v>10449000</v>
      </c>
      <c r="EK34" s="13">
        <v>6959000</v>
      </c>
      <c r="EL34" s="16">
        <v>6556000</v>
      </c>
      <c r="EO34" s="16">
        <v>6194000</v>
      </c>
      <c r="EP34" s="16">
        <v>6777000</v>
      </c>
      <c r="ER34" s="16">
        <v>11963000</v>
      </c>
      <c r="EW34" s="13">
        <v>7084000</v>
      </c>
      <c r="EX34" s="16">
        <v>7918000</v>
      </c>
      <c r="FA34" s="16">
        <v>7479000</v>
      </c>
      <c r="FD34" s="357">
        <v>7975470</v>
      </c>
      <c r="FG34" s="13">
        <v>7314000</v>
      </c>
      <c r="FI34" s="13">
        <v>7329000</v>
      </c>
      <c r="FJ34" s="16">
        <v>6630000</v>
      </c>
      <c r="FM34" s="16">
        <v>6757000</v>
      </c>
      <c r="FP34" s="16">
        <v>11148000</v>
      </c>
      <c r="FS34" s="13">
        <v>6209000</v>
      </c>
      <c r="FU34" s="13">
        <v>5712000</v>
      </c>
      <c r="FV34" s="16">
        <v>6234000</v>
      </c>
      <c r="FY34" s="16">
        <v>5574000</v>
      </c>
      <c r="GB34" s="197">
        <v>10106000</v>
      </c>
      <c r="GC34" s="16">
        <v>11060000</v>
      </c>
    </row>
    <row r="35" spans="2:185" ht="14.25">
      <c r="B35" s="16"/>
      <c r="C35" s="16">
        <v>14715000</v>
      </c>
      <c r="D35" s="16"/>
      <c r="E35" s="16"/>
      <c r="F35" s="16">
        <v>8736000</v>
      </c>
      <c r="G35" s="16"/>
      <c r="H35" s="16"/>
      <c r="I35" s="16">
        <v>7720000</v>
      </c>
      <c r="J35" s="16">
        <v>7411000</v>
      </c>
      <c r="K35" s="16"/>
      <c r="L35" s="16"/>
      <c r="M35" s="16">
        <v>7651000</v>
      </c>
      <c r="P35" s="16">
        <v>7615000</v>
      </c>
      <c r="S35" s="16">
        <v>7882000</v>
      </c>
      <c r="V35" s="16">
        <v>8305000</v>
      </c>
      <c r="Y35" s="16">
        <v>7956000</v>
      </c>
      <c r="AB35" s="16">
        <v>9514000</v>
      </c>
      <c r="AD35" s="16">
        <v>9616000</v>
      </c>
      <c r="AH35" s="16">
        <v>7088000</v>
      </c>
      <c r="AK35" s="16">
        <v>7284000</v>
      </c>
      <c r="AN35" s="16">
        <v>10355000</v>
      </c>
      <c r="AP35" s="16">
        <v>6967000</v>
      </c>
      <c r="AS35" s="13">
        <v>5984000</v>
      </c>
      <c r="AV35" s="16">
        <v>5833000</v>
      </c>
      <c r="AY35" s="16">
        <v>5231000</v>
      </c>
      <c r="BB35" s="16">
        <v>8060000</v>
      </c>
      <c r="BE35" s="13">
        <v>4113000</v>
      </c>
      <c r="BG35" s="16">
        <v>6338189</v>
      </c>
      <c r="BJ35" s="16">
        <v>8406000</v>
      </c>
      <c r="BM35" s="16">
        <v>8261000</v>
      </c>
      <c r="BQ35" s="13">
        <v>6666000</v>
      </c>
      <c r="BR35" s="16">
        <v>8509000</v>
      </c>
      <c r="BV35" s="16">
        <v>8952000</v>
      </c>
      <c r="BX35" s="16">
        <v>10511000</v>
      </c>
      <c r="CB35" s="16">
        <v>7638000</v>
      </c>
      <c r="CD35" s="16">
        <v>7138000</v>
      </c>
      <c r="CG35" s="16">
        <v>8409000</v>
      </c>
      <c r="CJ35" s="16">
        <v>12309000</v>
      </c>
      <c r="CP35" s="16">
        <v>6707000</v>
      </c>
      <c r="CS35" s="16">
        <v>6569000</v>
      </c>
      <c r="CU35" s="16">
        <v>8270000</v>
      </c>
      <c r="CX35" s="16">
        <v>9534000</v>
      </c>
      <c r="DA35" s="13">
        <v>7830000</v>
      </c>
      <c r="DG35" s="16">
        <v>9250000</v>
      </c>
      <c r="DJ35" s="16">
        <v>8936000</v>
      </c>
      <c r="DL35" s="16"/>
      <c r="DM35" s="13">
        <v>7480000</v>
      </c>
      <c r="DP35" s="16">
        <v>7571000</v>
      </c>
      <c r="DS35" s="16">
        <v>10318000</v>
      </c>
      <c r="DV35" s="16">
        <v>9072000</v>
      </c>
      <c r="DY35" s="13">
        <v>6990000</v>
      </c>
      <c r="EE35" s="16">
        <v>8250000</v>
      </c>
      <c r="EG35" s="16">
        <v>10155000</v>
      </c>
      <c r="EK35" s="13">
        <v>6611000</v>
      </c>
      <c r="EL35" s="16">
        <v>6738000</v>
      </c>
      <c r="ER35" s="16">
        <v>11360000</v>
      </c>
      <c r="EW35" s="13">
        <v>6491000</v>
      </c>
      <c r="EX35" s="16">
        <v>8851000</v>
      </c>
      <c r="FA35" s="16">
        <v>7155000</v>
      </c>
      <c r="FD35" s="357">
        <v>8824560</v>
      </c>
      <c r="FG35" s="13">
        <v>7465000</v>
      </c>
      <c r="FJ35" s="16">
        <v>6753000</v>
      </c>
      <c r="FM35" s="16">
        <v>6523000</v>
      </c>
      <c r="FP35" s="16">
        <v>8918000</v>
      </c>
      <c r="FS35" s="13">
        <v>6287000</v>
      </c>
      <c r="FV35" s="16">
        <v>5712000</v>
      </c>
      <c r="FY35" s="16">
        <v>6285000</v>
      </c>
      <c r="GB35" s="197">
        <v>10014000</v>
      </c>
      <c r="GC35" s="16">
        <v>11051000</v>
      </c>
    </row>
    <row r="36" spans="2:185" ht="12.75">
      <c r="B36" s="16"/>
      <c r="C36" s="16"/>
      <c r="D36" s="16"/>
      <c r="E36" s="16"/>
      <c r="F36" s="16">
        <v>9289000</v>
      </c>
      <c r="G36" s="16"/>
      <c r="H36" s="16"/>
      <c r="I36" s="16">
        <v>7527000</v>
      </c>
      <c r="J36" s="16">
        <v>6938000</v>
      </c>
      <c r="K36" s="16"/>
      <c r="L36" s="16"/>
      <c r="P36" s="16">
        <v>9596000</v>
      </c>
      <c r="V36" s="16">
        <v>7770000</v>
      </c>
      <c r="AB36" s="16">
        <v>11674000</v>
      </c>
      <c r="AS36" s="13">
        <v>5998000</v>
      </c>
      <c r="AY36" s="16">
        <v>9244000</v>
      </c>
      <c r="BB36" s="16">
        <v>7105000</v>
      </c>
      <c r="BE36" s="13">
        <v>7016000</v>
      </c>
      <c r="BG36" s="16">
        <v>6456009</v>
      </c>
      <c r="BJ36" s="16">
        <v>7889000</v>
      </c>
      <c r="BM36" s="16">
        <v>8191000</v>
      </c>
      <c r="BQ36" s="13">
        <v>7667000</v>
      </c>
      <c r="BR36" s="16">
        <v>8279000</v>
      </c>
      <c r="BV36" s="16">
        <v>9783000</v>
      </c>
      <c r="CD36" s="16">
        <v>7364000</v>
      </c>
      <c r="CP36" s="16">
        <v>6484000</v>
      </c>
      <c r="CS36" s="16">
        <v>6576000</v>
      </c>
      <c r="CX36" s="16">
        <v>9418000</v>
      </c>
      <c r="DA36" s="13">
        <v>7605000</v>
      </c>
      <c r="DG36" s="16">
        <v>9766000</v>
      </c>
      <c r="DJ36" s="16">
        <v>9916000</v>
      </c>
      <c r="DS36" s="16">
        <v>10111000</v>
      </c>
      <c r="DY36" s="13">
        <v>6905000</v>
      </c>
      <c r="EG36" s="16">
        <v>10067000</v>
      </c>
      <c r="EK36" s="13">
        <v>7205000</v>
      </c>
      <c r="EL36" s="16">
        <v>7039000</v>
      </c>
      <c r="ER36" s="16">
        <v>9830000</v>
      </c>
      <c r="EW36" s="13">
        <v>7622000</v>
      </c>
      <c r="EX36" s="16">
        <v>8214000</v>
      </c>
      <c r="FA36" s="16">
        <v>7549000</v>
      </c>
      <c r="FS36" s="13">
        <v>7302000</v>
      </c>
      <c r="GC36" s="16">
        <v>9995000</v>
      </c>
    </row>
    <row r="37" spans="2:185" ht="12.75">
      <c r="B37" s="16"/>
      <c r="C37" s="16"/>
      <c r="D37" s="16"/>
      <c r="E37" s="16"/>
      <c r="F37" s="16"/>
      <c r="G37" s="16"/>
      <c r="H37" s="16"/>
      <c r="I37" s="16"/>
      <c r="J37" s="16">
        <v>7360000</v>
      </c>
      <c r="K37" s="16"/>
      <c r="L37" s="16"/>
      <c r="AB37" s="16">
        <v>11096000</v>
      </c>
      <c r="BE37" s="13">
        <v>6023000</v>
      </c>
      <c r="BQ37" s="13">
        <v>7667000</v>
      </c>
      <c r="CS37" s="16">
        <v>8591000</v>
      </c>
      <c r="DA37" s="13">
        <v>7872000</v>
      </c>
      <c r="DS37" s="16">
        <v>9016000</v>
      </c>
      <c r="EG37" s="16"/>
      <c r="EL37" s="16">
        <v>7393000</v>
      </c>
      <c r="ER37" s="16">
        <v>10497000</v>
      </c>
      <c r="EW37" s="13">
        <v>8408000</v>
      </c>
      <c r="EX37" s="16"/>
      <c r="GC37" s="16">
        <v>9928000</v>
      </c>
    </row>
    <row r="38" spans="2:18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AB38" s="16"/>
      <c r="BE38" s="13"/>
      <c r="BQ38" s="13"/>
      <c r="CS38" s="16"/>
      <c r="DA38" s="13"/>
      <c r="DS38" s="16"/>
      <c r="EG38" s="16"/>
      <c r="EL38" s="16"/>
      <c r="ER38" s="16"/>
      <c r="EW38" s="13"/>
      <c r="EX38" s="16"/>
      <c r="GC38" s="16">
        <v>10308000</v>
      </c>
    </row>
    <row r="39" spans="2:185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AB39" s="16"/>
      <c r="BE39" s="13"/>
      <c r="BQ39" s="13"/>
      <c r="CS39" s="16"/>
      <c r="DA39" s="13"/>
      <c r="DS39" s="16"/>
      <c r="EG39" s="16"/>
      <c r="EL39" s="16"/>
      <c r="ER39" s="16"/>
      <c r="EW39" s="13"/>
      <c r="EX39" s="16"/>
      <c r="GC39" s="16">
        <v>8849000</v>
      </c>
    </row>
    <row r="40" spans="2:18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AB40" s="16"/>
      <c r="BE40" s="13"/>
      <c r="BQ40" s="13"/>
      <c r="CS40" s="16"/>
      <c r="DA40" s="13"/>
      <c r="DS40" s="16"/>
      <c r="EG40" s="16"/>
      <c r="EL40" s="16"/>
      <c r="ER40" s="16"/>
      <c r="EW40" s="13"/>
      <c r="EX40" s="16"/>
      <c r="GC40" s="16"/>
    </row>
    <row r="41" spans="2:12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88" ht="12.75">
      <c r="A42" s="15" t="s">
        <v>14</v>
      </c>
      <c r="B42" s="13">
        <f>SUM(B4:B31)</f>
        <v>247607000</v>
      </c>
      <c r="C42" s="16">
        <f>SUM(C4:C35)</f>
        <v>321529000</v>
      </c>
      <c r="D42" s="16">
        <f>SUM(D4:D32)</f>
        <v>331922000</v>
      </c>
      <c r="E42" s="16">
        <f>SUM(E4:E33)</f>
        <v>361969000</v>
      </c>
      <c r="F42" s="16">
        <f>SUM(F4:F36)</f>
        <v>331062000</v>
      </c>
      <c r="G42" s="16">
        <f>SUM(G4:G31)</f>
        <v>247281000</v>
      </c>
      <c r="H42" s="16">
        <f>SUM(H4:H33)</f>
        <v>255460000</v>
      </c>
      <c r="I42" s="16">
        <f>SUM(I4:I36)</f>
        <v>259840000</v>
      </c>
      <c r="J42" s="16">
        <f>SUM(J4:J37)</f>
        <v>262171000</v>
      </c>
      <c r="K42" s="16">
        <f>SUM(K4:K31)</f>
        <v>224293000</v>
      </c>
      <c r="L42" s="16">
        <f>SUM(L4:L33)</f>
        <v>230473000</v>
      </c>
      <c r="M42" s="16">
        <f>SUM(M4:M35)</f>
        <v>247443000</v>
      </c>
      <c r="N42" s="16">
        <f>SUM(N4:N32)</f>
        <v>248042000</v>
      </c>
      <c r="O42" s="16">
        <f>SUM(O4:O33)</f>
        <v>283327000</v>
      </c>
      <c r="P42" s="16">
        <f>SUM(P4:P36)</f>
        <v>282383000</v>
      </c>
      <c r="Q42" s="16">
        <f>SUM(Q4:Q32)</f>
        <v>270330000</v>
      </c>
      <c r="R42" s="16">
        <f>SUM(R4:R32)</f>
        <v>308102000</v>
      </c>
      <c r="S42" s="16">
        <f>SUM(S4:S35)</f>
        <v>282544000</v>
      </c>
      <c r="T42" s="16">
        <f>SUM(T4:T31)</f>
        <v>228391000</v>
      </c>
      <c r="U42" s="16">
        <f>SUM(U4:U34)</f>
        <v>233977000</v>
      </c>
      <c r="V42" s="16">
        <f>SUM(V4:V36)</f>
        <v>253609000</v>
      </c>
      <c r="W42" s="16">
        <f>SUM(W4:W32)</f>
        <v>227457000</v>
      </c>
      <c r="X42" s="16">
        <f>SUM(X4:X33)</f>
        <v>227262000</v>
      </c>
      <c r="Y42" s="16">
        <f>SUM(Y4:Y35)</f>
        <v>248427000</v>
      </c>
      <c r="Z42" s="16">
        <f>SUM(Z4:Z32)</f>
        <v>236883000</v>
      </c>
      <c r="AA42" s="16">
        <f>SUM(AA4:AA32)</f>
        <v>281376000</v>
      </c>
      <c r="AB42" s="16">
        <f>SUM(AB4:AB37)</f>
        <v>366238000</v>
      </c>
      <c r="AC42" s="16">
        <f>SUM(AC4:AC32)</f>
        <v>313284000</v>
      </c>
      <c r="AD42" s="16">
        <f>SUM(AD4:AD35)</f>
        <v>324753000</v>
      </c>
      <c r="AE42" s="16">
        <f>SUM(AE4:AE32)</f>
        <v>248938000</v>
      </c>
      <c r="AF42" s="16">
        <f>SUM(AF4:AF31)</f>
        <v>220017000</v>
      </c>
      <c r="AG42" s="16">
        <f>SUM(AG4:AG34)</f>
        <v>224094000</v>
      </c>
      <c r="AH42" s="16">
        <f>SUM(AH4:AH35)</f>
        <v>228356000</v>
      </c>
      <c r="AI42" s="16">
        <f>SUM(AI4:AI32)</f>
        <v>206245000</v>
      </c>
      <c r="AJ42" s="16">
        <f>SUM(AJ4:AJ32)</f>
        <v>206159000</v>
      </c>
      <c r="AK42" s="16">
        <f>SUM(AK4:AK35)</f>
        <v>219820000</v>
      </c>
      <c r="AL42" s="16">
        <f>SUM(AL4:AL33)</f>
        <v>238993000</v>
      </c>
      <c r="AM42" s="16">
        <f>SUM(AM4:AM33)</f>
        <v>285071000</v>
      </c>
      <c r="AN42" s="16">
        <f>SUM(AN4:AN35)</f>
        <v>288935000</v>
      </c>
      <c r="AO42" s="16">
        <f>SUM(AO4:AO33)</f>
        <v>315916000</v>
      </c>
      <c r="AP42" s="16">
        <f>SUM(AP4:AP35)</f>
        <v>258474000</v>
      </c>
      <c r="AQ42" s="16">
        <f>SUM(AQ4:AQ32)</f>
        <v>204522000</v>
      </c>
      <c r="AR42" s="16">
        <f>SUM(AR4:AR32)</f>
        <v>195351000</v>
      </c>
      <c r="AS42" s="16">
        <f>SUM(AS4:AS36)</f>
        <v>210619000</v>
      </c>
      <c r="AT42" s="16">
        <f>SUM(AT4:AT33)</f>
        <v>186524000</v>
      </c>
      <c r="AU42" s="16">
        <f>SUM(AU4:AU32)</f>
        <v>180062000</v>
      </c>
      <c r="AV42" s="16">
        <f>SUM(AV4:AV35)</f>
        <v>186061000</v>
      </c>
      <c r="AW42" s="16">
        <f>SUM(AW4:AW33)</f>
        <v>177826000</v>
      </c>
      <c r="AX42" s="16">
        <f>SUM(AX4:AX32)</f>
        <v>189223000</v>
      </c>
      <c r="AY42" s="16">
        <f>SUM(AY4:AY36)</f>
        <v>237157000</v>
      </c>
      <c r="AZ42" s="16">
        <f>SUM(AZ4:AZ33)</f>
        <v>254546000</v>
      </c>
      <c r="BA42" s="16">
        <f>SUM(BA4:BA32)</f>
        <v>259996000</v>
      </c>
      <c r="BB42" s="16">
        <f>SUM(BB4:BB36)</f>
        <v>267501000</v>
      </c>
      <c r="BC42" s="16">
        <f>SUM(BC4:BC32)</f>
        <v>202945000</v>
      </c>
      <c r="BD42" s="16">
        <f>SUM(BD4:BD30)</f>
        <v>197951000</v>
      </c>
      <c r="BE42" s="16">
        <f>SUM(BE4:BE37)</f>
        <v>230380000</v>
      </c>
      <c r="BF42" s="16">
        <f>SUM(BF4:BF34)</f>
        <v>202002000</v>
      </c>
      <c r="BG42" s="16">
        <f>SUM(BG4:BG36)</f>
        <v>241435152</v>
      </c>
      <c r="BH42" s="16">
        <f>SUM(BH4:BH30)</f>
        <v>185486773</v>
      </c>
      <c r="BI42" s="16">
        <f>SUM(BI4:BI32)</f>
        <v>197870000</v>
      </c>
      <c r="BJ42" s="16">
        <f>SUM(BJ4:BJ36)</f>
        <v>248282000</v>
      </c>
      <c r="BK42" s="16">
        <f>SUM(BK4:BK33)</f>
        <v>267332000</v>
      </c>
      <c r="BL42" s="16">
        <f>SUM(BL4:BL33)</f>
        <v>277465000</v>
      </c>
      <c r="BM42" s="16">
        <f>SUM(BM4:BM36)</f>
        <v>322472000</v>
      </c>
      <c r="BN42" s="16">
        <f>SUM(BN4:BN32)</f>
        <v>263947000</v>
      </c>
      <c r="BO42" s="16">
        <f>SUM(BO4:BO31)</f>
        <v>239201000</v>
      </c>
      <c r="BP42" s="16">
        <f>SUM(BP4:BP31)</f>
        <v>226318000</v>
      </c>
      <c r="BQ42" s="16">
        <f>SUM(BQ4:BQ37)</f>
        <v>254520000</v>
      </c>
      <c r="BR42" s="16">
        <f>SUM(BR4:BR36)</f>
        <v>254128000</v>
      </c>
      <c r="BS42" s="16">
        <f>SUM(BS4:BS32)</f>
        <v>232694000</v>
      </c>
      <c r="BT42" s="16">
        <f>SUM(BT4:BT32)</f>
        <v>231142000</v>
      </c>
      <c r="BU42" s="16">
        <f>SUM(BU4:BU32)</f>
        <v>227781000</v>
      </c>
      <c r="BV42" s="16">
        <f>SUM(BV4:BV36)</f>
        <v>260865000</v>
      </c>
      <c r="BW42" s="16">
        <f>SUM(BW4:BW33)</f>
        <v>295402000</v>
      </c>
      <c r="BX42" s="16">
        <f>SUM(BX4:BX35)</f>
        <v>350635000</v>
      </c>
      <c r="BY42" s="16">
        <f>SUM(BY4:BY33)</f>
        <v>309479000</v>
      </c>
      <c r="BZ42" s="16">
        <f>SUM(BZ4:BZ32)</f>
        <v>292271000</v>
      </c>
      <c r="CA42" s="16">
        <f>SUM(CA4:CA31)</f>
        <v>284516000</v>
      </c>
      <c r="CB42" s="16">
        <f>SUM(CB4:CB35)</f>
        <v>258210000</v>
      </c>
      <c r="CC42" s="16">
        <f>SUM(CC4:CC34)</f>
        <v>224985000</v>
      </c>
      <c r="CD42" s="16">
        <f>SUM(CD4:CD36)</f>
        <v>235884000</v>
      </c>
      <c r="CE42" s="16">
        <f>SUM(CE4:CE33)</f>
        <v>220638000</v>
      </c>
      <c r="CF42" s="16">
        <f>SUM(CF4:CF32)</f>
        <v>231213000</v>
      </c>
      <c r="CG42" s="16">
        <f>SUM(CG4:CG35)</f>
        <v>258336000</v>
      </c>
      <c r="CH42" s="16">
        <f>SUM(CH4:CH31)</f>
        <v>253868000</v>
      </c>
      <c r="CI42" s="16">
        <f>SUM(CI4:CI33)</f>
        <v>378508000</v>
      </c>
      <c r="CJ42" s="16">
        <f>SUM(CJ4:CJ35)</f>
        <v>360966000</v>
      </c>
      <c r="CK42" s="16">
        <f>SUM(CK4:CK33)</f>
        <v>344742000</v>
      </c>
      <c r="CL42" s="16">
        <f>SUM(CL4:CL33)</f>
        <v>327372000</v>
      </c>
      <c r="CM42" s="16">
        <f>SUM(CM4:CM31)</f>
        <v>249766000</v>
      </c>
      <c r="CN42" s="16">
        <f>SUM(CN4:CN34)</f>
        <v>247848000</v>
      </c>
      <c r="CO42" s="16">
        <f>SUM(CO4:CO34)</f>
        <v>224763000</v>
      </c>
      <c r="CP42" s="16">
        <f>SUM(CP4:CP36)</f>
        <v>231949000</v>
      </c>
      <c r="CQ42" s="16">
        <f>SUM(CQ4:CQ31)</f>
        <v>195160000</v>
      </c>
      <c r="CR42" s="16">
        <f>SUM(CR4:CR33)</f>
        <v>220975000</v>
      </c>
      <c r="CS42" s="16">
        <f>SUM(CS4:CS37)</f>
        <v>248486000</v>
      </c>
      <c r="CT42" s="16">
        <f>SUM(CT4:CT32)</f>
        <v>246072000</v>
      </c>
      <c r="CU42" s="16">
        <f>SUM(CU4:CU35)</f>
        <v>313686000</v>
      </c>
      <c r="CV42" s="16">
        <f>SUM(CV4:CV33)</f>
        <v>323872000</v>
      </c>
      <c r="CW42" s="16">
        <f>SUM(CW4:CW32)</f>
        <v>331143000</v>
      </c>
      <c r="CX42" s="16">
        <f>SUM(CX4:CX36)</f>
        <v>336311000</v>
      </c>
      <c r="CY42" s="16">
        <f>SUM(CY4:CY32)</f>
        <v>278762000</v>
      </c>
      <c r="CZ42" s="16">
        <f>SUM(CZ4:CZ30)</f>
        <v>228097000</v>
      </c>
      <c r="DA42" s="16">
        <f>SUM(DA4:DA37)</f>
        <v>253867000</v>
      </c>
      <c r="DB42" s="16">
        <f>SUM(DB4:DB33)</f>
        <v>222149000</v>
      </c>
      <c r="DC42" s="16">
        <f>SUM(DC4:DC32)</f>
        <v>213822000</v>
      </c>
      <c r="DD42" s="16">
        <f>SUM(DD4:DD32)</f>
        <v>206473000</v>
      </c>
      <c r="DE42" s="22">
        <f>SUM(DE4:DE34)</f>
        <v>217654000</v>
      </c>
      <c r="DF42" s="16">
        <f>SUM(DF4:DF33)</f>
        <v>228703000</v>
      </c>
      <c r="DG42" s="16">
        <f>SUM(DG4:DG36)</f>
        <v>276579000</v>
      </c>
      <c r="DH42" s="22">
        <f>SUM(DH4:DH33)</f>
        <v>292399000</v>
      </c>
      <c r="DI42" s="16">
        <f>SUM(DI4:DI32)</f>
        <v>282322000</v>
      </c>
      <c r="DJ42" s="16">
        <f>SUM(DJ4:DJ36)</f>
        <v>332893000</v>
      </c>
      <c r="DK42" s="22">
        <f>SUM(DK4:DK32)</f>
        <v>279408000</v>
      </c>
      <c r="DL42" s="16">
        <f>SUM(DL4:DL32)</f>
        <v>235099000</v>
      </c>
      <c r="DM42" s="16">
        <f>SUM(DM4:DM35)</f>
        <v>223517000</v>
      </c>
      <c r="DN42" s="22">
        <f>SUM(DN4:DN34)</f>
        <v>228264000</v>
      </c>
      <c r="DO42" s="16">
        <f>SUM(DO4:DO31)</f>
        <v>212838000</v>
      </c>
      <c r="DP42" s="16">
        <f>SUM(DP4:DP35)</f>
        <v>217569000</v>
      </c>
      <c r="DQ42" s="22">
        <f>SUM(DQ4:DQ32)</f>
        <v>200284000</v>
      </c>
      <c r="DR42" s="16">
        <f>SUM(DR4:DR32)</f>
        <v>220054000</v>
      </c>
      <c r="DS42" s="16">
        <f>SUM(DS4:DS37)</f>
        <v>281050000</v>
      </c>
      <c r="DT42" s="16">
        <f>SUM(DT4:DT32)</f>
        <v>311397000</v>
      </c>
      <c r="DU42" s="16">
        <f>SUM(DU4:DU32)</f>
        <v>305921000</v>
      </c>
      <c r="DV42" s="16">
        <f>SUM(DV4:DV35)</f>
        <v>345305000</v>
      </c>
      <c r="DW42" s="16">
        <f>SUM(DW4:DW34)</f>
        <v>270273000</v>
      </c>
      <c r="DX42" s="16">
        <f>SUM(DX4:DX30)</f>
        <v>218219000</v>
      </c>
      <c r="DY42" s="16">
        <f>SUM(DY4:DY36)</f>
        <v>235964000</v>
      </c>
      <c r="DZ42" s="16">
        <f>SUM(DZ4:DZ34)</f>
        <v>217412000</v>
      </c>
      <c r="EA42" s="16">
        <f>SUM(EA4:EA32)</f>
        <v>211578000</v>
      </c>
      <c r="EB42" s="16">
        <f>SUM(EB4:EB34)</f>
        <v>221910000</v>
      </c>
      <c r="EC42" s="16">
        <f>SUM(EC4:EC32)</f>
        <v>204801000</v>
      </c>
      <c r="ED42" s="16">
        <f>SUM(ED4:ED34)</f>
        <v>253883000</v>
      </c>
      <c r="EE42" s="16">
        <f>SUM(EE4:EE35)</f>
        <v>276728000</v>
      </c>
      <c r="EF42" s="16">
        <f>SUM(EF4:EF33)</f>
        <v>273559000</v>
      </c>
      <c r="EG42" s="16">
        <f>SUM(EG4:EG36)</f>
        <v>339399000</v>
      </c>
      <c r="EH42" s="16">
        <f>SUM(EH4:EH33)</f>
        <v>284114000</v>
      </c>
      <c r="EI42" s="16">
        <f>SUM(EI4:EI30)</f>
        <v>225723000</v>
      </c>
      <c r="EJ42" s="16">
        <f>SUM(EJ4:EJ32)</f>
        <v>213588000</v>
      </c>
      <c r="EK42" s="16">
        <f>SUM(EK4:EK36)</f>
        <v>225100000</v>
      </c>
      <c r="EL42" s="16">
        <f>SUM(EL4:EL37)</f>
        <v>233088000</v>
      </c>
      <c r="EM42" s="16">
        <f>SUM(EM4:EM31)</f>
        <v>184510000</v>
      </c>
      <c r="EN42" s="16">
        <f>SUM(EN4:EN32)</f>
        <v>190777000</v>
      </c>
      <c r="EO42" s="16">
        <f>SUM(EO4:EO34)</f>
        <v>218376000</v>
      </c>
      <c r="EP42" s="16">
        <f>SUM(EP4:EP34)</f>
        <v>210451000</v>
      </c>
      <c r="EQ42" s="16">
        <f>SUM(EQ4:EQ32)</f>
        <v>250742000</v>
      </c>
      <c r="ER42" s="16">
        <f>SUM(ER4:ER37)</f>
        <v>369508000</v>
      </c>
      <c r="ES42" s="16">
        <f>SUM(ES4:ES32)</f>
        <v>341545000</v>
      </c>
      <c r="ET42" s="16">
        <f>SUM(ET4:ET32)</f>
        <v>327843000</v>
      </c>
      <c r="EU42" s="16">
        <f>SUM(EU4:EU31)</f>
        <v>282509000</v>
      </c>
      <c r="EV42" s="16">
        <f>SUM(EV4:EV33)</f>
        <v>280992000</v>
      </c>
      <c r="EW42" s="16">
        <f>SUM(EW4:EW37)</f>
        <v>287664000</v>
      </c>
      <c r="EX42" s="16">
        <f>SUM(EX4:EX36)</f>
        <v>264158000</v>
      </c>
      <c r="EY42" s="16">
        <f>SUM(EY4:EY32)</f>
        <v>223908000</v>
      </c>
      <c r="EZ42" s="16">
        <f>SUM(EZ4:EZ32)</f>
        <v>211016000</v>
      </c>
      <c r="FA42" s="16">
        <f>SUM(FA4:FA36)</f>
        <v>239664000</v>
      </c>
      <c r="FB42" s="16">
        <f>SUM(FB4:FB31)</f>
        <v>211782020</v>
      </c>
      <c r="FC42" s="16">
        <f>SUM(FC4:FC33)</f>
        <v>298285400</v>
      </c>
      <c r="FD42" s="16">
        <f>SUM(FD4:FD35)</f>
        <v>314913620</v>
      </c>
      <c r="FE42" s="16">
        <f>SUM(FE4:FE33)</f>
        <v>304917930</v>
      </c>
      <c r="FF42" s="16">
        <f>SUM(FF4:FF33)</f>
        <v>274017890</v>
      </c>
      <c r="FG42" s="16">
        <f>SUM(FG4:FG35)</f>
        <v>245412000</v>
      </c>
      <c r="FH42" s="16">
        <f>SUM(FH4:FH35)</f>
        <v>192398000</v>
      </c>
      <c r="FI42" s="16">
        <f aca="true" t="shared" si="0" ref="FI42:FW42">SUM(FI4:FI35)</f>
        <v>234733000</v>
      </c>
      <c r="FJ42" s="16">
        <f t="shared" si="0"/>
        <v>220351000</v>
      </c>
      <c r="FK42" s="16">
        <f t="shared" si="0"/>
        <v>189653000</v>
      </c>
      <c r="FL42" s="16">
        <f t="shared" si="0"/>
        <v>178922000</v>
      </c>
      <c r="FM42" s="16">
        <f t="shared" si="0"/>
        <v>212364000</v>
      </c>
      <c r="FN42" s="16">
        <f t="shared" si="0"/>
        <v>194563000</v>
      </c>
      <c r="FO42" s="16">
        <f t="shared" si="0"/>
        <v>260371000</v>
      </c>
      <c r="FP42" s="16">
        <f t="shared" si="0"/>
        <v>296255000</v>
      </c>
      <c r="FQ42" s="16">
        <f t="shared" si="0"/>
        <v>315194000</v>
      </c>
      <c r="FR42" s="16">
        <f t="shared" si="0"/>
        <v>276237000</v>
      </c>
      <c r="FS42" s="16">
        <f>SUM(FS4:FS36)</f>
        <v>258160000</v>
      </c>
      <c r="FT42" s="16">
        <f t="shared" si="0"/>
        <v>178387000</v>
      </c>
      <c r="FU42" s="16">
        <f t="shared" si="0"/>
        <v>187628000</v>
      </c>
      <c r="FV42" s="16">
        <f t="shared" si="0"/>
        <v>204862000</v>
      </c>
      <c r="FW42" s="16">
        <f t="shared" si="0"/>
        <v>195635000</v>
      </c>
      <c r="FX42" s="16">
        <f>SUM(FX4:FX33)</f>
        <v>182536000</v>
      </c>
      <c r="FY42" s="16">
        <f>SUM(FY4:FY35)</f>
        <v>183616000</v>
      </c>
      <c r="FZ42" s="16">
        <f>SUM(FZ4:FZ32)</f>
        <v>188152000</v>
      </c>
      <c r="GA42" s="16">
        <f>SUM(GA4:GA33)</f>
        <v>238739000</v>
      </c>
      <c r="GB42" s="16">
        <f>SUM(GB4:GB35)</f>
        <v>305062000</v>
      </c>
      <c r="GC42" s="16">
        <f>SUM(GC4:GC39)</f>
        <v>361332000</v>
      </c>
      <c r="GD42" s="16">
        <f>SUM(GD4:GD29)</f>
        <v>234375000</v>
      </c>
      <c r="GE42" s="16">
        <f>SUM(GE4:GE32)</f>
        <v>229357000</v>
      </c>
      <c r="GF42" s="16">
        <f>SUM(GF4:GF32)</f>
        <v>212299000</v>
      </c>
    </row>
    <row r="43" spans="1:188" ht="12.75">
      <c r="A43" s="15" t="s">
        <v>15</v>
      </c>
      <c r="B43" s="13">
        <f>AVERAGE(B4:B31)</f>
        <v>8843107.142857144</v>
      </c>
      <c r="C43" s="16">
        <f>AVERAGE(C4:C35)</f>
        <v>10047781.25</v>
      </c>
      <c r="D43" s="16">
        <f>AVERAGE(D4:D32)</f>
        <v>11445586.206896551</v>
      </c>
      <c r="E43" s="16">
        <f>AVERAGE(E4:E33)</f>
        <v>12065633.333333334</v>
      </c>
      <c r="F43" s="16">
        <f>AVERAGE(F4:F36)</f>
        <v>10032181.818181818</v>
      </c>
      <c r="G43" s="16">
        <f>AVERAGE(G4:G31)</f>
        <v>8831464.285714285</v>
      </c>
      <c r="H43" s="16">
        <f>AVERAGE(H4:H33)</f>
        <v>8515333.333333334</v>
      </c>
      <c r="I43" s="16">
        <f>AVERAGE(I4:I36)</f>
        <v>7873939.393939394</v>
      </c>
      <c r="J43" s="16">
        <f>AVERAGE(J4:J37)</f>
        <v>7710911.764705882</v>
      </c>
      <c r="K43" s="16">
        <f>AVERAGE(K4:K31)</f>
        <v>8010464.285714285</v>
      </c>
      <c r="L43" s="16">
        <f>AVERAGE(L4:L33)</f>
        <v>7682433.333333333</v>
      </c>
      <c r="M43" s="16">
        <f>AVERAGE(M4:M35)</f>
        <v>7732593.75</v>
      </c>
      <c r="N43" s="16">
        <f>AVERAGE(N4:N32)</f>
        <v>8553172.413793104</v>
      </c>
      <c r="O43" s="16">
        <f>AVERAGE(O4:O33)</f>
        <v>9444233.333333334</v>
      </c>
      <c r="P43" s="16">
        <f>AVERAGE(P4:P36)</f>
        <v>8557060.606060605</v>
      </c>
      <c r="Q43" s="16">
        <f>AVERAGE(Q4:Q32)</f>
        <v>9321724.137931034</v>
      </c>
      <c r="R43" s="16">
        <f>AVERAGE(R4:R32)</f>
        <v>10624206.896551725</v>
      </c>
      <c r="S43" s="16">
        <f>AVERAGE(S4:S35)</f>
        <v>8829500</v>
      </c>
      <c r="T43" s="16">
        <f>AVERAGE(T4:T31)</f>
        <v>8156821.428571428</v>
      </c>
      <c r="U43" s="16">
        <f>AVERAGE(U4:U34)</f>
        <v>7547645.161290322</v>
      </c>
      <c r="V43" s="16">
        <f>AVERAGE(V4:V36)</f>
        <v>7685121.212121212</v>
      </c>
      <c r="W43" s="16">
        <f>AVERAGE(W5:W33)</f>
        <v>7846535.714285715</v>
      </c>
      <c r="X43" s="16">
        <f>AVERAGE(X4:X33)</f>
        <v>7575400</v>
      </c>
      <c r="Y43" s="16">
        <f>AVERAGE(Y4:Y35)</f>
        <v>7763343.75</v>
      </c>
      <c r="Z43" s="16">
        <f>AVERAGE(Z4:Z32)</f>
        <v>8168379.310344827</v>
      </c>
      <c r="AA43" s="16">
        <f>AVERAGE(AA4:AA32)</f>
        <v>9702620.689655172</v>
      </c>
      <c r="AB43" s="16">
        <f>AVERAGE(AB4:AB37)</f>
        <v>10771705.88235294</v>
      </c>
      <c r="AC43" s="16">
        <f>AVERAGE(AC4:AC32)</f>
        <v>10802896.551724138</v>
      </c>
      <c r="AD43" s="16">
        <f>AVERAGE(AD4:AD35)</f>
        <v>10148531.25</v>
      </c>
      <c r="AE43" s="16">
        <f>AVERAGE(AE4:AE32)</f>
        <v>8584068.965517242</v>
      </c>
      <c r="AF43" s="16">
        <f>AVERAGE(AF5:AF32)</f>
        <v>7859407.407407408</v>
      </c>
      <c r="AG43" s="16">
        <f>AVERAGE(AG4:AG34)</f>
        <v>7228838.70967742</v>
      </c>
      <c r="AH43" s="16">
        <f>AVERAGE(AH4:AH35)</f>
        <v>7136125</v>
      </c>
      <c r="AI43" s="16">
        <f>AVERAGE(AI4:AI32)</f>
        <v>7111896.551724138</v>
      </c>
      <c r="AJ43" s="16">
        <f>AVERAGE(AJ4:AJ32)</f>
        <v>7108931.0344827585</v>
      </c>
      <c r="AK43" s="16">
        <f>AVERAGE(AK4:AK35)</f>
        <v>6869375</v>
      </c>
      <c r="AL43" s="16">
        <f>AVERAGE(AL4:AL33)</f>
        <v>7966433.333333333</v>
      </c>
      <c r="AM43" s="16">
        <f>AVERAGE(AM4:AM33)</f>
        <v>9502366.666666666</v>
      </c>
      <c r="AN43" s="16">
        <f>AVERAGE(AN4:AN35)</f>
        <v>9029218.75</v>
      </c>
      <c r="AO43" s="16">
        <f>AVERAGE(AO4:AO33)</f>
        <v>10530533.333333334</v>
      </c>
      <c r="AP43" s="16">
        <f>AVERAGE(AP4:AP35)</f>
        <v>8077312.5</v>
      </c>
      <c r="AQ43" s="16">
        <f>AVERAGE(AQ4:AQ32)</f>
        <v>7052482.75862069</v>
      </c>
      <c r="AR43" s="16">
        <f>AVERAGE(AR4:AR32)</f>
        <v>6736241.379310345</v>
      </c>
      <c r="AS43" s="16">
        <f>AVERAGE(AS4:AS36)</f>
        <v>6382393.939393939</v>
      </c>
      <c r="AT43" s="16">
        <f>AVERAGE(AT4:AT33)</f>
        <v>6217466.666666667</v>
      </c>
      <c r="AU43" s="16">
        <f>AVERAGE(AU4:AU32)</f>
        <v>6209034.482758621</v>
      </c>
      <c r="AV43" s="16">
        <f>AVERAGE(AV4:AV35)</f>
        <v>5814406.25</v>
      </c>
      <c r="AW43" s="16">
        <f>AVERAGE(AW4:AW33)</f>
        <v>5927533.333333333</v>
      </c>
      <c r="AX43" s="16">
        <f>AVERAGE(AX4:AX32)</f>
        <v>6524931.0344827585</v>
      </c>
      <c r="AY43" s="16">
        <f>AVERAGE(AY4:AY36)</f>
        <v>7186575.757575758</v>
      </c>
      <c r="AZ43" s="16">
        <f>AVERAGE(AZ4:AZ33)</f>
        <v>8484866.666666666</v>
      </c>
      <c r="BA43" s="16">
        <f>AVERAGE(BA4:BA32)</f>
        <v>8965379.310344828</v>
      </c>
      <c r="BB43" s="16">
        <f>AVERAGE(BB4:BB36)</f>
        <v>8106090.909090909</v>
      </c>
      <c r="BC43" s="16">
        <f>AVERAGE(BC4:BC32)</f>
        <v>6998103.448275862</v>
      </c>
      <c r="BD43" s="16">
        <f>AVERAGE(BD4:BD30)</f>
        <v>7331518.518518519</v>
      </c>
      <c r="BE43" s="16">
        <f>AVERAGE(BE4:BE37)</f>
        <v>6775882.352941177</v>
      </c>
      <c r="BF43" s="16">
        <f>AVERAGE(BF4:BF34)</f>
        <v>6516193.548387097</v>
      </c>
      <c r="BG43" s="16">
        <f>AVERAGE(BG4:BG36)</f>
        <v>7316216.7272727275</v>
      </c>
      <c r="BH43" s="16">
        <f>AVERAGE(BH4:BH30)</f>
        <v>6869880.481481481</v>
      </c>
      <c r="BI43" s="16">
        <f>AVERAGE(BI4:BI32)</f>
        <v>6823103.448275862</v>
      </c>
      <c r="BJ43" s="16">
        <f>AVERAGE(BJ4:BJ36)</f>
        <v>7523696.96969697</v>
      </c>
      <c r="BK43" s="16">
        <f>AVERAGE(BK4:BK33)</f>
        <v>8911066.666666666</v>
      </c>
      <c r="BL43" s="16">
        <f>AVERAGE(BL4:BL33)</f>
        <v>9248833.333333334</v>
      </c>
      <c r="BM43" s="16">
        <f>AVERAGE(BM4:BM36)</f>
        <v>9771878.787878787</v>
      </c>
      <c r="BN43" s="16">
        <f>AVERAGE(BN4:BN32)</f>
        <v>9101620.689655172</v>
      </c>
      <c r="BO43" s="16">
        <f>AVERAGE(BO4:BO31)</f>
        <v>8542892.857142856</v>
      </c>
      <c r="BP43" s="16">
        <f>AVERAGE(BP4:BP31)</f>
        <v>8082785.714285715</v>
      </c>
      <c r="BQ43" s="16">
        <f>AVERAGE(BQ4:BQ37)</f>
        <v>7485882.352941177</v>
      </c>
      <c r="BR43" s="16">
        <f>AVERAGE(BR4:BR36)</f>
        <v>7700848.484848484</v>
      </c>
      <c r="BS43" s="16">
        <f>AVERAGE(BS4:BS32)</f>
        <v>8023931.0344827585</v>
      </c>
      <c r="BT43" s="16">
        <f>AVERAGE(BT4:BT32)</f>
        <v>7970413.793103448</v>
      </c>
      <c r="BU43" s="16">
        <f>AVERAGE(BU4:BU32)</f>
        <v>7854517.24137931</v>
      </c>
      <c r="BV43" s="16">
        <f>AVERAGE(BV4:BV36)</f>
        <v>7905000</v>
      </c>
      <c r="BW43" s="16">
        <f>AVERAGE(BW4:BW33)</f>
        <v>9846733.333333334</v>
      </c>
      <c r="BX43" s="16">
        <f>AVERAGE(BX4:BX35)</f>
        <v>10957343.75</v>
      </c>
      <c r="BY43" s="16">
        <f>AVERAGE(BY4:BY33)</f>
        <v>10315966.666666666</v>
      </c>
      <c r="BZ43" s="16">
        <f>AVERAGE(BZ4:BZ32)</f>
        <v>10078310.344827587</v>
      </c>
      <c r="CA43" s="16">
        <f>AVERAGE(CA4:CA31)</f>
        <v>10161285.714285715</v>
      </c>
      <c r="CB43" s="16">
        <f>AVERAGE(CB4:CB35)</f>
        <v>8069062.5</v>
      </c>
      <c r="CC43" s="16">
        <f>AVERAGE(CC4:CC34)</f>
        <v>7257580.645161291</v>
      </c>
      <c r="CD43" s="16">
        <f>AVERAGE(CD4:CD36)</f>
        <v>7148000</v>
      </c>
      <c r="CE43" s="16">
        <f>AVERAGE(CE4:CE33)</f>
        <v>7354600</v>
      </c>
      <c r="CF43" s="16">
        <f>AVERAGE(CF4:CF32)</f>
        <v>7972862.068965517</v>
      </c>
      <c r="CG43" s="16">
        <f>AVERAGE(CG4:CG35)</f>
        <v>8073000</v>
      </c>
      <c r="CH43" s="16">
        <f>AVERAGE(CH4:CH31)</f>
        <v>9066714.285714285</v>
      </c>
      <c r="CI43" s="16">
        <f>AVERAGE(CI4:CI33)</f>
        <v>12616933.333333334</v>
      </c>
      <c r="CJ43" s="16">
        <f>AVERAGE(CJ4:CJ35)</f>
        <v>11280187.5</v>
      </c>
      <c r="CK43" s="16">
        <f>AVERAGE(CK4:CK33)</f>
        <v>11491400</v>
      </c>
      <c r="CL43" s="16">
        <f>AVERAGE(CL4:CL33)</f>
        <v>10912400</v>
      </c>
      <c r="CM43" s="16">
        <f>AVERAGE(CM4:CM31)</f>
        <v>8920214.285714285</v>
      </c>
      <c r="CN43" s="16">
        <f>AVERAGE(CN4:CN34)</f>
        <v>7995096.774193549</v>
      </c>
      <c r="CO43" s="16">
        <f>AVERAGE(CO4:CO34)</f>
        <v>7250419.354838709</v>
      </c>
      <c r="CP43" s="16">
        <f>AVERAGE(CP4:CP36)</f>
        <v>7028757.575757576</v>
      </c>
      <c r="CQ43" s="16">
        <f>AVERAGE(CQ4:CQ31)</f>
        <v>6970000</v>
      </c>
      <c r="CR43" s="16">
        <f>AVERAGE(CR4:CR33)</f>
        <v>7365833.333333333</v>
      </c>
      <c r="CS43" s="16">
        <f>AVERAGE(CS4:CS37)</f>
        <v>7308411.764705882</v>
      </c>
      <c r="CT43" s="16">
        <f>AVERAGE(CT4:CT32)</f>
        <v>8485241.379310345</v>
      </c>
      <c r="CU43" s="16">
        <f>AVERAGE(CU4:CU35)</f>
        <v>9802687.5</v>
      </c>
      <c r="CV43" s="16">
        <f>AVERAGE(CV4:CV33)</f>
        <v>10795733.333333334</v>
      </c>
      <c r="CW43" s="16">
        <f>AVERAGE(CW4:CW32)</f>
        <v>11418724.137931034</v>
      </c>
      <c r="CX43" s="16">
        <f>AVERAGE(CX4:CX36)</f>
        <v>10191242.424242424</v>
      </c>
      <c r="CY43" s="16">
        <f>AVERAGE(CY4:CY32)</f>
        <v>9612482.75862069</v>
      </c>
      <c r="CZ43" s="16">
        <f>AVERAGE(CZ4:CZ30)</f>
        <v>8448037.037037037</v>
      </c>
      <c r="DA43" s="16">
        <f>AVERAGE(DA4:DA37)</f>
        <v>7466676.470588235</v>
      </c>
      <c r="DB43" s="16">
        <f>AVERAGE(DB4:DB33)</f>
        <v>7404966.666666667</v>
      </c>
      <c r="DC43" s="16">
        <f>AVERAGE(DC4:DC32)</f>
        <v>7373172.413793104</v>
      </c>
      <c r="DD43" s="16">
        <f>AVERAGE(DD4:DD32)</f>
        <v>7119758.620689655</v>
      </c>
      <c r="DE43" s="22">
        <f>AVERAGE(DE4:DE34)</f>
        <v>7021096.774193549</v>
      </c>
      <c r="DF43" s="16">
        <f>AVERAGE(DF4:DF33)</f>
        <v>7623433.333333333</v>
      </c>
      <c r="DG43" s="16">
        <f>AVERAGE(DG4:DG36)</f>
        <v>8381181.818181818</v>
      </c>
      <c r="DH43" s="22">
        <f>AVERAGE(DH4:DH33)</f>
        <v>9746633.333333334</v>
      </c>
      <c r="DI43" s="16">
        <f>AVERAGE(DI4:DI32)</f>
        <v>9735241.379310345</v>
      </c>
      <c r="DJ43" s="16">
        <f>AVERAGE(DJ4:DJ36)</f>
        <v>10087666.666666666</v>
      </c>
      <c r="DK43" s="22">
        <f>AVERAGE(DK4:DK32)</f>
        <v>9634758.620689655</v>
      </c>
      <c r="DL43" s="16">
        <f>AVERAGE(DL4:DL32)</f>
        <v>8106862.068965517</v>
      </c>
      <c r="DM43" s="16">
        <f>AVERAGE(DM4:DM35)</f>
        <v>6984906.25</v>
      </c>
      <c r="DN43" s="22">
        <f>AVERAGE(DN4:DN34)</f>
        <v>7363354.838709678</v>
      </c>
      <c r="DO43" s="16">
        <f>AVERAGE(DO4:DO31)</f>
        <v>7601357.142857143</v>
      </c>
      <c r="DP43" s="16">
        <f>AVERAGE(DP4:DP35)</f>
        <v>6799031.25</v>
      </c>
      <c r="DQ43" s="22">
        <f>AVERAGE(DQ4:DQ32)</f>
        <v>6906344.827586207</v>
      </c>
      <c r="DR43" s="16">
        <f>AVERAGE(DR4:DR32)</f>
        <v>7588068.9655172415</v>
      </c>
      <c r="DS43" s="16">
        <f>AVERAGE(DS4:DS37)</f>
        <v>8266176.470588235</v>
      </c>
      <c r="DT43" s="16">
        <f>AVERAGE(DT4:DT32)</f>
        <v>10737827.586206896</v>
      </c>
      <c r="DU43" s="16">
        <f>AVERAGE(DU4:DU32)</f>
        <v>10549000</v>
      </c>
      <c r="DV43" s="16">
        <f>AVERAGE(DV4:DV35)</f>
        <v>10790781.25</v>
      </c>
      <c r="DW43" s="16">
        <f>AVERAGE(DW4:DW34)</f>
        <v>8718483.870967742</v>
      </c>
      <c r="DX43" s="16">
        <f>AVERAGE(DX4:DX30)</f>
        <v>8082185.185185186</v>
      </c>
      <c r="DY43" s="16">
        <f>AVERAGE(DY4:DY36)</f>
        <v>7150424.242424242</v>
      </c>
      <c r="DZ43" s="16">
        <f>AVERAGE(DZ4:DZ34)</f>
        <v>7013290.322580645</v>
      </c>
      <c r="EA43" s="16">
        <f>AVERAGE(EA4:EA32)</f>
        <v>7295793.1034482755</v>
      </c>
      <c r="EB43" s="16">
        <f>AVERAGE(EB4:EB34)</f>
        <v>7158387.096774193</v>
      </c>
      <c r="EC43" s="16">
        <f>AVERAGE(EC4:EC32)</f>
        <v>7062103.448275862</v>
      </c>
      <c r="ED43" s="16">
        <f>AVERAGE(ED4:ED34)</f>
        <v>8189774.193548387</v>
      </c>
      <c r="EE43" s="16">
        <f>AVERAGE(EE4:EE35)</f>
        <v>8647750</v>
      </c>
      <c r="EF43" s="16">
        <f>AVERAGE(EF4:EF33)</f>
        <v>9118633.333333334</v>
      </c>
      <c r="EG43" s="16">
        <f>AVERAGE(EG4:EG36)</f>
        <v>10284818.181818182</v>
      </c>
      <c r="EH43" s="16">
        <f>AVERAGE(EH4:EH33)</f>
        <v>9470466.666666666</v>
      </c>
      <c r="EI43" s="16">
        <f>AVERAGE(EI4:EI30)</f>
        <v>8360111.111111111</v>
      </c>
      <c r="EJ43" s="16">
        <f>AVERAGE(EJ4:EJ32)</f>
        <v>7365103.448275862</v>
      </c>
      <c r="EK43" s="16">
        <f>AVERAGE(EK4:EK36)</f>
        <v>6821212.121212121</v>
      </c>
      <c r="EL43" s="16">
        <f>AVERAGE(EL4:EL37)</f>
        <v>6855529.411764706</v>
      </c>
      <c r="EM43" s="16">
        <f>AVERAGE(EM4:EM31)</f>
        <v>6589642.857142857</v>
      </c>
      <c r="EN43" s="16">
        <f>AVERAGE(EN4:EN32)</f>
        <v>6578517.24137931</v>
      </c>
      <c r="EO43" s="16">
        <f>AVERAGE(EO4:EO34)</f>
        <v>7044387.096774193</v>
      </c>
      <c r="EP43" s="16">
        <f>AVERAGE(EP4:EP34)</f>
        <v>6788741.935483871</v>
      </c>
      <c r="EQ43" s="16">
        <f>AVERAGE(EQ4:EQ32)</f>
        <v>8646275.862068966</v>
      </c>
      <c r="ER43" s="16">
        <f>AVERAGE(ER4:ER37)</f>
        <v>10867882.352941176</v>
      </c>
      <c r="ES43" s="16">
        <f>AVERAGE(ES4:ES32)</f>
        <v>11777413.793103449</v>
      </c>
      <c r="ET43" s="16">
        <f>AVERAGE(ET4:ET32)</f>
        <v>11304931.034482758</v>
      </c>
      <c r="EU43" s="16">
        <f>AVERAGE(EU4:EU31)</f>
        <v>10089607.142857144</v>
      </c>
      <c r="EV43" s="16">
        <f>AVERAGE(EV4:EV33)</f>
        <v>9366400</v>
      </c>
      <c r="EW43" s="16">
        <f>AVERAGE(EW4:EW37)</f>
        <v>8460705.88235294</v>
      </c>
      <c r="EX43" s="16">
        <f>AVERAGE(EX4:EX36)</f>
        <v>8004787.878787879</v>
      </c>
      <c r="EY43" s="16">
        <f>AVERAGE(EY4:EY32)</f>
        <v>7720965.517241379</v>
      </c>
      <c r="EZ43" s="16">
        <f>AVERAGE(EZ4:EZ32)</f>
        <v>7276413.793103448</v>
      </c>
      <c r="FA43" s="16">
        <f>AVERAGE(FA4:FA36)</f>
        <v>7262545.454545454</v>
      </c>
      <c r="FB43" s="16">
        <f>AVERAGE(FB4:FB31)</f>
        <v>7563643.571428572</v>
      </c>
      <c r="FC43" s="16">
        <f>AVERAGE(FC4:FC33)</f>
        <v>9942846.666666666</v>
      </c>
      <c r="FD43" s="16">
        <f>AVERAGE(FD4:FD35)</f>
        <v>9841050.625</v>
      </c>
      <c r="FE43" s="16">
        <f>AVERAGE(FE4:FE33)</f>
        <v>10163931</v>
      </c>
      <c r="FF43" s="16">
        <f>AVERAGE(FF4:FF33)</f>
        <v>9133929.666666666</v>
      </c>
      <c r="FG43" s="16">
        <f>AVERAGE(FG4:FG35)</f>
        <v>7669125</v>
      </c>
      <c r="FH43" s="16">
        <f aca="true" t="shared" si="1" ref="FH43:FW43">AVERAGE(FH4:FH35)</f>
        <v>7125851.851851852</v>
      </c>
      <c r="FI43" s="16">
        <f t="shared" si="1"/>
        <v>7572032.258064516</v>
      </c>
      <c r="FJ43" s="16">
        <f t="shared" si="1"/>
        <v>6885968.75</v>
      </c>
      <c r="FK43" s="16">
        <f t="shared" si="1"/>
        <v>6539758.620689655</v>
      </c>
      <c r="FL43" s="16">
        <f t="shared" si="1"/>
        <v>5964066.666666667</v>
      </c>
      <c r="FM43" s="16">
        <f t="shared" si="1"/>
        <v>6636375</v>
      </c>
      <c r="FN43" s="16">
        <f>AVERAGE(FN4:FN32)</f>
        <v>6709068.9655172415</v>
      </c>
      <c r="FO43" s="16">
        <f t="shared" si="1"/>
        <v>8679033.333333334</v>
      </c>
      <c r="FP43" s="16">
        <f t="shared" si="1"/>
        <v>9257968.75</v>
      </c>
      <c r="FQ43" s="16">
        <f t="shared" si="1"/>
        <v>10506466.666666666</v>
      </c>
      <c r="FR43" s="16">
        <f t="shared" si="1"/>
        <v>9207900</v>
      </c>
      <c r="FS43" s="16">
        <f>AVERAGE(FS4:FS36)</f>
        <v>7823030.303030303</v>
      </c>
      <c r="FT43" s="16">
        <f t="shared" si="1"/>
        <v>6606925.925925926</v>
      </c>
      <c r="FU43" s="16">
        <f t="shared" si="1"/>
        <v>6052516.129032258</v>
      </c>
      <c r="FV43" s="16">
        <f t="shared" si="1"/>
        <v>6401937.5</v>
      </c>
      <c r="FW43" s="16">
        <f t="shared" si="1"/>
        <v>6746034.482758621</v>
      </c>
      <c r="FX43" s="16">
        <f>AVERAGE(FX4:FX33)</f>
        <v>6084533.333333333</v>
      </c>
      <c r="FY43" s="16">
        <f>AVERAGE(FY4:FY35)</f>
        <v>5738000</v>
      </c>
      <c r="FZ43" s="16">
        <f>AVERAGE(FZ4:FZ32)</f>
        <v>6488000</v>
      </c>
      <c r="GA43" s="16">
        <f>AVERAGE(GA4:GA33)</f>
        <v>7957966.666666667</v>
      </c>
      <c r="GB43" s="16">
        <f>AVERAGE(GB4:GB34)</f>
        <v>9517677.41935484</v>
      </c>
      <c r="GC43" s="16">
        <f>AVERAGE(GC4:GC39)</f>
        <v>10037000</v>
      </c>
      <c r="GD43" s="16">
        <f>AVERAGE(GD4:GD29)</f>
        <v>9014423.076923076</v>
      </c>
      <c r="GE43" s="16">
        <f>AVERAGE(GE4:GE32)</f>
        <v>7908862.068965517</v>
      </c>
      <c r="GF43" s="16">
        <f>AVERAGE(GF4:GF32)</f>
        <v>7320655.172413793</v>
      </c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W43 AF43 GB43" formulaRange="1"/>
    <ignoredError sqref="AB42:AB43 AD42:AD43 AN42:AN43 AO42:AO43 BB42:BB43 BX42:BX43 CJ42:CJ43 CX42:CX43 DE43 DI43 DL43 DN43 DS42:DS43 DG42:DG43 DJ42:DJ43 EG42:EG43 EC42:EC43 EA42:EB43 FD42:FD43 ER42:ER43 FS42:FS43 FN43 FX42:FX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Pawtucket Water Supply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Chris Collins</cp:lastModifiedBy>
  <cp:lastPrinted>2011-03-22T13:08:12Z</cp:lastPrinted>
  <dcterms:created xsi:type="dcterms:W3CDTF">2005-02-22T13:20:43Z</dcterms:created>
  <dcterms:modified xsi:type="dcterms:W3CDTF">2024-01-04T12:17:29Z</dcterms:modified>
  <cp:category/>
  <cp:version/>
  <cp:contentType/>
  <cp:contentStatus/>
</cp:coreProperties>
</file>